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27345" windowHeight="13800" activeTab="0"/>
  </bookViews>
  <sheets>
    <sheet name="ESTIMATES 2010-11" sheetId="1" r:id="rId1"/>
    <sheet name="Supplementary info" sheetId="2" r:id="rId2"/>
  </sheets>
  <definedNames>
    <definedName name="_xlnm.Print_Area" localSheetId="0">'ESTIMATES 2010-11'!$A$1:$DE$239</definedName>
  </definedNames>
  <calcPr fullCalcOnLoad="1"/>
</workbook>
</file>

<file path=xl/sharedStrings.xml><?xml version="1.0" encoding="utf-8"?>
<sst xmlns="http://schemas.openxmlformats.org/spreadsheetml/2006/main" count="2009" uniqueCount="801">
  <si>
    <t>Country</t>
  </si>
  <si>
    <t>Pop. 0-4 yrs</t>
  </si>
  <si>
    <t>WHO Region</t>
  </si>
  <si>
    <t>% Malnutr</t>
  </si>
  <si>
    <t>% LBW</t>
  </si>
  <si>
    <t>% Non-BF</t>
  </si>
  <si>
    <t>% Crowd</t>
  </si>
  <si>
    <t>RF1-effect</t>
  </si>
  <si>
    <t>RF2-effect</t>
  </si>
  <si>
    <t>RF3-effect</t>
  </si>
  <si>
    <t>RF4-effect</t>
  </si>
  <si>
    <t>RF5-effect</t>
  </si>
  <si>
    <t>ALRI</t>
  </si>
  <si>
    <t>Algeria</t>
  </si>
  <si>
    <t>Afr D</t>
  </si>
  <si>
    <t>Angola</t>
  </si>
  <si>
    <t>Benin</t>
  </si>
  <si>
    <t>Burkina Faso</t>
  </si>
  <si>
    <t>Cameroon</t>
  </si>
  <si>
    <t>Cape Verde</t>
  </si>
  <si>
    <t>Chad</t>
  </si>
  <si>
    <t>Comoros</t>
  </si>
  <si>
    <t>Equatorial Guinea</t>
  </si>
  <si>
    <t>Gabon</t>
  </si>
  <si>
    <t>Gambia</t>
  </si>
  <si>
    <t>Ghana</t>
  </si>
  <si>
    <t>Guinea</t>
  </si>
  <si>
    <t>Guinea-Bissau</t>
  </si>
  <si>
    <t>Liberia</t>
  </si>
  <si>
    <t>Madagascar</t>
  </si>
  <si>
    <t>Mali</t>
  </si>
  <si>
    <t>Mauritania</t>
  </si>
  <si>
    <t>Mauritius</t>
  </si>
  <si>
    <t>Niger</t>
  </si>
  <si>
    <t>Nigeria</t>
  </si>
  <si>
    <t>Sao Tome and Principe</t>
  </si>
  <si>
    <t>Senegal</t>
  </si>
  <si>
    <t>Seychelles</t>
  </si>
  <si>
    <t>Sierra Leone</t>
  </si>
  <si>
    <t>Togo</t>
  </si>
  <si>
    <t>Botswana</t>
  </si>
  <si>
    <t>Afr E</t>
  </si>
  <si>
    <t>Burundi</t>
  </si>
  <si>
    <t>Central African Republic</t>
  </si>
  <si>
    <t>Congo</t>
  </si>
  <si>
    <t>Côte d'Ivoire</t>
  </si>
  <si>
    <t>Dem. Rep. of the Congo</t>
  </si>
  <si>
    <t>Eritrea</t>
  </si>
  <si>
    <t>Ethiopia</t>
  </si>
  <si>
    <t>Kenya</t>
  </si>
  <si>
    <t>Lesotho</t>
  </si>
  <si>
    <t>Malawi</t>
  </si>
  <si>
    <t>Mozambique</t>
  </si>
  <si>
    <t>Namibia</t>
  </si>
  <si>
    <t>Rwanda</t>
  </si>
  <si>
    <t>South Africa</t>
  </si>
  <si>
    <t>Swaziland</t>
  </si>
  <si>
    <t>Uganda</t>
  </si>
  <si>
    <t>United Republic of Tanzania</t>
  </si>
  <si>
    <t>Zambia</t>
  </si>
  <si>
    <t>Zimbabwe</t>
  </si>
  <si>
    <t>Antigua and Barbuda</t>
  </si>
  <si>
    <t>Amr B</t>
  </si>
  <si>
    <t>Argentina</t>
  </si>
  <si>
    <t>Bahamas</t>
  </si>
  <si>
    <t>Barbados</t>
  </si>
  <si>
    <t>Belize</t>
  </si>
  <si>
    <t>Brazil</t>
  </si>
  <si>
    <t>Chile</t>
  </si>
  <si>
    <t>Colombia</t>
  </si>
  <si>
    <t>Costa Rica</t>
  </si>
  <si>
    <t>Dominica</t>
  </si>
  <si>
    <t>Dominican Republic</t>
  </si>
  <si>
    <t>El Salvador</t>
  </si>
  <si>
    <t>Grenada</t>
  </si>
  <si>
    <t>Guyana</t>
  </si>
  <si>
    <t>Honduras</t>
  </si>
  <si>
    <t>Jamaica</t>
  </si>
  <si>
    <t>Mexico</t>
  </si>
  <si>
    <t>Panama</t>
  </si>
  <si>
    <t>Paraguay</t>
  </si>
  <si>
    <t>Saint Kitts and Nevis</t>
  </si>
  <si>
    <t>Saint Lucia</t>
  </si>
  <si>
    <t>Saint Vincent and Grenadines</t>
  </si>
  <si>
    <t>Suriname</t>
  </si>
  <si>
    <t>Trinidad and Tobago</t>
  </si>
  <si>
    <t>Uruguay</t>
  </si>
  <si>
    <t>Venezuela</t>
  </si>
  <si>
    <t>Bolivia</t>
  </si>
  <si>
    <t>Amr D</t>
  </si>
  <si>
    <t>Ecuador</t>
  </si>
  <si>
    <t>Guatemala</t>
  </si>
  <si>
    <t>Haiti</t>
  </si>
  <si>
    <t>Nicaragua</t>
  </si>
  <si>
    <t>Peru</t>
  </si>
  <si>
    <t>Bahrain</t>
  </si>
  <si>
    <t>Emr B</t>
  </si>
  <si>
    <t>Cyprus</t>
  </si>
  <si>
    <t>Iran (Islamic Republic of)</t>
  </si>
  <si>
    <t>Jordan</t>
  </si>
  <si>
    <t>Kuwait</t>
  </si>
  <si>
    <t>Lebanon</t>
  </si>
  <si>
    <t>Libyan Arab Jamahiriya</t>
  </si>
  <si>
    <t>Oman</t>
  </si>
  <si>
    <t>Qatar</t>
  </si>
  <si>
    <t>Saudi Arabia</t>
  </si>
  <si>
    <t>Syrian Arab Republic</t>
  </si>
  <si>
    <t>Tunisia</t>
  </si>
  <si>
    <t>United Arab Emirates</t>
  </si>
  <si>
    <t>Afghanistan</t>
  </si>
  <si>
    <t>Emr D</t>
  </si>
  <si>
    <t>Djibouti</t>
  </si>
  <si>
    <t>Egypt</t>
  </si>
  <si>
    <t>Iraq</t>
  </si>
  <si>
    <t>Morocco</t>
  </si>
  <si>
    <t>Pakistan</t>
  </si>
  <si>
    <t>Somalia</t>
  </si>
  <si>
    <t>Sudan</t>
  </si>
  <si>
    <t>Yemen</t>
  </si>
  <si>
    <t>Indonesia</t>
  </si>
  <si>
    <t>Sear B</t>
  </si>
  <si>
    <t>Sri Lanka</t>
  </si>
  <si>
    <t>Thailand</t>
  </si>
  <si>
    <t>Bangladesh</t>
  </si>
  <si>
    <t>Sear D</t>
  </si>
  <si>
    <t>Bhutan</t>
  </si>
  <si>
    <t>Dem. Peoples's Rep. of Korea</t>
  </si>
  <si>
    <t>India</t>
  </si>
  <si>
    <t>Maldives</t>
  </si>
  <si>
    <t>Myanmar</t>
  </si>
  <si>
    <t>Nepal</t>
  </si>
  <si>
    <t>Cambodia</t>
  </si>
  <si>
    <t>Wpr B</t>
  </si>
  <si>
    <t>China</t>
  </si>
  <si>
    <t>Cook Islands</t>
  </si>
  <si>
    <t>Fiji</t>
  </si>
  <si>
    <t>Kiribati</t>
  </si>
  <si>
    <t>Lao People's Dem. Republic</t>
  </si>
  <si>
    <t>Malaysia</t>
  </si>
  <si>
    <t>Marshall Islands</t>
  </si>
  <si>
    <t>Micronesia (Fed. States of)</t>
  </si>
  <si>
    <t>Mongolia</t>
  </si>
  <si>
    <t>Nauru</t>
  </si>
  <si>
    <t>Niue</t>
  </si>
  <si>
    <t>Palau</t>
  </si>
  <si>
    <t>Papua New Guinea</t>
  </si>
  <si>
    <t>Philippines</t>
  </si>
  <si>
    <t>Republic of Korea</t>
  </si>
  <si>
    <t>Samoa</t>
  </si>
  <si>
    <t>Solomon Islands</t>
  </si>
  <si>
    <t>Tonga</t>
  </si>
  <si>
    <t>Tuvalu</t>
  </si>
  <si>
    <t>Vanuatu</t>
  </si>
  <si>
    <t>Viet Nam</t>
  </si>
  <si>
    <t>Pop 0-4</t>
  </si>
  <si>
    <t>Inc (e/cy)</t>
  </si>
  <si>
    <t>Sev ALRI</t>
  </si>
  <si>
    <t>AfrD</t>
  </si>
  <si>
    <t>EmrD</t>
  </si>
  <si>
    <t>AfrE</t>
  </si>
  <si>
    <t>Cote d'Ivoire</t>
  </si>
  <si>
    <t>Dem. Republic of the Congo</t>
  </si>
  <si>
    <t>United Rep. of Tanzania</t>
  </si>
  <si>
    <t>Canada</t>
  </si>
  <si>
    <t>AmrA</t>
  </si>
  <si>
    <t>United States of America</t>
  </si>
  <si>
    <t>AmrB</t>
  </si>
  <si>
    <t>Cuba</t>
  </si>
  <si>
    <t>AmrD</t>
  </si>
  <si>
    <t>EmrB</t>
  </si>
  <si>
    <t>Andorra</t>
  </si>
  <si>
    <t>EurA</t>
  </si>
  <si>
    <t>Austria</t>
  </si>
  <si>
    <t>Belgium</t>
  </si>
  <si>
    <t>Croatia</t>
  </si>
  <si>
    <t>Czech Republic</t>
  </si>
  <si>
    <t>Denmark</t>
  </si>
  <si>
    <t>Finland</t>
  </si>
  <si>
    <t>France</t>
  </si>
  <si>
    <t>Germany</t>
  </si>
  <si>
    <t>Greece</t>
  </si>
  <si>
    <t>Iceland</t>
  </si>
  <si>
    <t>Ireland</t>
  </si>
  <si>
    <t>Israel</t>
  </si>
  <si>
    <t>Italy</t>
  </si>
  <si>
    <t>Luxembourg</t>
  </si>
  <si>
    <t>Malta</t>
  </si>
  <si>
    <t>Monaco</t>
  </si>
  <si>
    <t>Netherlands</t>
  </si>
  <si>
    <t>Norway</t>
  </si>
  <si>
    <t>Portugal</t>
  </si>
  <si>
    <t>San Marino</t>
  </si>
  <si>
    <t>Slovenia</t>
  </si>
  <si>
    <t>Spain</t>
  </si>
  <si>
    <t>Sweden</t>
  </si>
  <si>
    <t>Switzerland</t>
  </si>
  <si>
    <t>United Kingdom</t>
  </si>
  <si>
    <t>Albania</t>
  </si>
  <si>
    <t>EurB</t>
  </si>
  <si>
    <t>Bosnia and Herzegovina</t>
  </si>
  <si>
    <t>Bulgaria</t>
  </si>
  <si>
    <t>Georgia</t>
  </si>
  <si>
    <t>Poland</t>
  </si>
  <si>
    <t>Romania</t>
  </si>
  <si>
    <t>Slovakia</t>
  </si>
  <si>
    <t>TFYR Macedonia</t>
  </si>
  <si>
    <t>Turkey</t>
  </si>
  <si>
    <t>Armenia</t>
  </si>
  <si>
    <t>Azerbaijan</t>
  </si>
  <si>
    <t>Kyrgyzstan</t>
  </si>
  <si>
    <t>Tajikistan</t>
  </si>
  <si>
    <t>Turkmenistan</t>
  </si>
  <si>
    <t>Uzbekistan</t>
  </si>
  <si>
    <t>Belarus</t>
  </si>
  <si>
    <t>EurC</t>
  </si>
  <si>
    <t>Estonia</t>
  </si>
  <si>
    <t>Hungary</t>
  </si>
  <si>
    <t>Kazakhstan</t>
  </si>
  <si>
    <t>Latvia</t>
  </si>
  <si>
    <t>Lithuania</t>
  </si>
  <si>
    <t>Republic of Moldova</t>
  </si>
  <si>
    <t>Russian Federation</t>
  </si>
  <si>
    <t>Ukraine</t>
  </si>
  <si>
    <t>Brunei Darussalam</t>
  </si>
  <si>
    <t>WprA</t>
  </si>
  <si>
    <t>SearB</t>
  </si>
  <si>
    <t>WprB</t>
  </si>
  <si>
    <t>Singapore</t>
  </si>
  <si>
    <t>SearD</t>
  </si>
  <si>
    <t>Australia</t>
  </si>
  <si>
    <t>Japan</t>
  </si>
  <si>
    <t>New Zealand</t>
  </si>
  <si>
    <t>Dem. People's Rep. of Korea</t>
  </si>
  <si>
    <t>Amr A</t>
  </si>
  <si>
    <t>Eur A</t>
  </si>
  <si>
    <t>Eur B</t>
  </si>
  <si>
    <t>Eur C</t>
  </si>
  <si>
    <t>Wpr A</t>
  </si>
  <si>
    <t>WHO Reg.</t>
  </si>
  <si>
    <t>Total (d'ing)</t>
  </si>
  <si>
    <t>Total (d'ed)</t>
  </si>
  <si>
    <t>GBD</t>
  </si>
  <si>
    <t>% Sol-Fuels</t>
  </si>
  <si>
    <t>Malnutrition</t>
  </si>
  <si>
    <t>Non-breastfed</t>
  </si>
  <si>
    <t>Use solid fuels</t>
  </si>
  <si>
    <t>Crowding</t>
  </si>
  <si>
    <t>Low birth wght</t>
  </si>
  <si>
    <t>Non-breastfed exclus. (4 mths)</t>
  </si>
  <si>
    <t>Use solid fuels (yes)</t>
  </si>
  <si>
    <t>Malnutrition (wght-for-age z&lt;-2)</t>
  </si>
  <si>
    <t>Low birth weight (=&lt;2500 g)</t>
  </si>
  <si>
    <t>PRESUMED RELAT. RISKS / ODD RATIOS:</t>
  </si>
  <si>
    <t>MISSING VALUES REPLACEMENT WITH REGIONAL MEAN:</t>
  </si>
  <si>
    <t>(SOURCES: MICS, DHS, WHO, WORLD BANK)</t>
  </si>
  <si>
    <t>NUMBER OF CHILDREN EXPOSED</t>
  </si>
  <si>
    <t>TO EACH OF THE 5 MAJOR RISK FACTOR</t>
  </si>
  <si>
    <t>PREVALENCE OF 5 MAJOR RISK FACTORS</t>
  </si>
  <si>
    <t>N (RF1 expos)</t>
  </si>
  <si>
    <t>N (RF2 expos)</t>
  </si>
  <si>
    <t>N (RF3 expos)</t>
  </si>
  <si>
    <t>N (RF4 expos)</t>
  </si>
  <si>
    <t>N (RF5 expos)</t>
  </si>
  <si>
    <t>N (exposed)</t>
  </si>
  <si>
    <t>% (exposed)</t>
  </si>
  <si>
    <t>COMPUTATION OF EFFECTS OF EACH MAJOR</t>
  </si>
  <si>
    <t>RISK FACTOR ON NATIONAL-LEVEL INCIDENCE</t>
  </si>
  <si>
    <t>Cases / yr</t>
  </si>
  <si>
    <t>Severe / yr</t>
  </si>
  <si>
    <t>INCIDENCE OF</t>
  </si>
  <si>
    <t>CLINICAL PNEUMONIA</t>
  </si>
  <si>
    <t>Incid. (e/cy)</t>
  </si>
  <si>
    <t>Year 2010</t>
  </si>
  <si>
    <t>New ALRI</t>
  </si>
  <si>
    <t>Timor Leste</t>
  </si>
  <si>
    <t>New severe ALRI</t>
  </si>
  <si>
    <t>DR Congo</t>
  </si>
  <si>
    <t xml:space="preserve">Niger  </t>
  </si>
  <si>
    <t>Tanzania</t>
  </si>
  <si>
    <t>RSV severe in 2010</t>
  </si>
  <si>
    <t>Flu severe in 2010</t>
  </si>
  <si>
    <t>Serbia and Montenegro</t>
  </si>
  <si>
    <t>%</t>
  </si>
  <si>
    <t>BRYCE</t>
  </si>
  <si>
    <t>AMR</t>
  </si>
  <si>
    <t>AFR</t>
  </si>
  <si>
    <t>EMR</t>
  </si>
  <si>
    <t>EUR</t>
  </si>
  <si>
    <t>SEAR</t>
  </si>
  <si>
    <t>WPR</t>
  </si>
  <si>
    <t>O'BRIEN (PC)</t>
  </si>
  <si>
    <t>DTHS</t>
  </si>
  <si>
    <t>WATT (Hib)</t>
  </si>
  <si>
    <t>% PC</t>
  </si>
  <si>
    <t>% Hib</t>
  </si>
  <si>
    <t>WORLD</t>
  </si>
  <si>
    <t>REGION</t>
  </si>
  <si>
    <t>Afr D&amp;E</t>
  </si>
  <si>
    <t>Amr A&amp;B&amp;D</t>
  </si>
  <si>
    <t>Emr B&amp;D</t>
  </si>
  <si>
    <t>Sear B&amp;D</t>
  </si>
  <si>
    <t>Eur A&amp;B&amp;C</t>
  </si>
  <si>
    <t>Crowding (7 or more persons)</t>
  </si>
  <si>
    <t>Year: 2010</t>
  </si>
  <si>
    <t>Upper CI</t>
  </si>
  <si>
    <t>Lower CI</t>
  </si>
  <si>
    <t>COMPARISONS: 2000 vs 2010</t>
  </si>
  <si>
    <t>Population (LMIC, 2000)</t>
  </si>
  <si>
    <t>Population (HIC, 2000)</t>
  </si>
  <si>
    <t>Population (World, 2000)</t>
  </si>
  <si>
    <t>Population (LMIC, 2010)</t>
  </si>
  <si>
    <t>Population (World, 2010)</t>
  </si>
  <si>
    <t>Incidence (LMIC, 2000)</t>
  </si>
  <si>
    <t>Inidence (LMIC, 2010)</t>
  </si>
  <si>
    <t>0.22 (0.11-0.51)</t>
  </si>
  <si>
    <t>% severe (LMIC, 2000)</t>
  </si>
  <si>
    <t>% severe (LMIC, 2010)</t>
  </si>
  <si>
    <t>0.29 (0.21-0.71)</t>
  </si>
  <si>
    <t>8.6% (7.0-13.0%)</t>
  </si>
  <si>
    <t>11.5% (8.0-33.0%)</t>
  </si>
  <si>
    <t>Population (HIC, 2010)</t>
  </si>
  <si>
    <t>Malnutrition (LMIC, 2000)</t>
  </si>
  <si>
    <t>Malnutrition (LMIC, 2010)</t>
  </si>
  <si>
    <t>Low birth weight (LMIC, 2000)</t>
  </si>
  <si>
    <t>Low birth weight (LMIC, 2010)</t>
  </si>
  <si>
    <t>based on 28 studies</t>
  </si>
  <si>
    <t>based on 35 studies</t>
  </si>
  <si>
    <t>based on 6 studies</t>
  </si>
  <si>
    <t>based on 9 studies</t>
  </si>
  <si>
    <t>UNPD</t>
  </si>
  <si>
    <t>DHS+MICS</t>
  </si>
  <si>
    <t>Non-excl breastfed (LMIC, 2000)</t>
  </si>
  <si>
    <t>Non-excl breastfed (LMIC, 2010)</t>
  </si>
  <si>
    <t>Solid fuel use (LMIC, 2000)</t>
  </si>
  <si>
    <t>Solid fuel use (LMIC, 2010)</t>
  </si>
  <si>
    <t>OR=1.8</t>
  </si>
  <si>
    <t>OR=1.4</t>
  </si>
  <si>
    <t>OR=1.3</t>
  </si>
  <si>
    <t>OR=1.2</t>
  </si>
  <si>
    <t>OR=2.0*</t>
  </si>
  <si>
    <t>Crowding (LMIC, 2000)</t>
  </si>
  <si>
    <t>Crowding (LMIC, 2010)* (def.)</t>
  </si>
  <si>
    <t>Total (d'ed):</t>
  </si>
  <si>
    <t>Incidence (HIC, 2000)</t>
  </si>
  <si>
    <t>Incidence (HIC, 2010)</t>
  </si>
  <si>
    <t>0.015 (0.012-0.020)</t>
  </si>
  <si>
    <t>based on 2 studies</t>
  </si>
  <si>
    <t>% severe (HIC, 2000)</t>
  </si>
  <si>
    <t>% severe (HIC, 2010)</t>
  </si>
  <si>
    <t>26.7% (20.0-46.7%)</t>
  </si>
  <si>
    <t>Population</t>
  </si>
  <si>
    <t>based on 6 studies from LMIC</t>
  </si>
  <si>
    <t>based on 9 studies from HIC</t>
  </si>
  <si>
    <t>Hib vaccine</t>
  </si>
  <si>
    <t>PC vaccine</t>
  </si>
  <si>
    <t>coverage</t>
  </si>
  <si>
    <t>New severe</t>
  </si>
  <si>
    <t xml:space="preserve">New severe  </t>
  </si>
  <si>
    <t>Severe ALRI</t>
  </si>
  <si>
    <t>ALRI - PC</t>
  </si>
  <si>
    <t>ALRI - Hib</t>
  </si>
  <si>
    <t>ALRI - RSV</t>
  </si>
  <si>
    <t>ALRI - Flu</t>
  </si>
  <si>
    <t>Severe PC</t>
  </si>
  <si>
    <t>Severe Hib</t>
  </si>
  <si>
    <t>Severe RSV</t>
  </si>
  <si>
    <t>Severe Flu</t>
  </si>
  <si>
    <t>PC severe 2010</t>
  </si>
  <si>
    <t>Hib severe 2010</t>
  </si>
  <si>
    <t>Total % SUM</t>
  </si>
  <si>
    <t xml:space="preserve">******* NOT ADJUSTED FOR VACCINATION ******** NOT ADJUSTED FOR VACCINATION </t>
  </si>
  <si>
    <t xml:space="preserve">******* NOT ADJUSTED FOR VACCINATION ******** NOT </t>
  </si>
  <si>
    <t>******* ADJUSTED FOR VACCINATION ******** ADJUSTED FOR VACCINATION ******</t>
  </si>
  <si>
    <t>Total Pop</t>
  </si>
  <si>
    <t xml:space="preserve">******* ADJUSTED FOR VACCINATION ******** ADJUSTED FOR VACCINATION </t>
  </si>
  <si>
    <t>Total Popul</t>
  </si>
  <si>
    <t>Incidence</t>
  </si>
  <si>
    <t>PC %</t>
  </si>
  <si>
    <t>Hib %</t>
  </si>
  <si>
    <t>RSV %</t>
  </si>
  <si>
    <t>Flu %</t>
  </si>
  <si>
    <t>Pneumonia deaths (2010) with CI</t>
  </si>
  <si>
    <t>Diarrhoea deaths (2010) with CI</t>
  </si>
  <si>
    <t>CI lower</t>
  </si>
  <si>
    <t>CI upper</t>
  </si>
  <si>
    <t>0-1 mths</t>
  </si>
  <si>
    <t>1-59 mths</t>
  </si>
  <si>
    <t>N (x1000)</t>
  </si>
  <si>
    <t>YEAR 2010 MORTALITY</t>
  </si>
  <si>
    <t>STEP 1:</t>
  </si>
  <si>
    <t>LIST ALL COUNTRIES BY WHO REGIONS (IN 2010)</t>
  </si>
  <si>
    <t>AND SPECIFY THEIR POPULATION AGED 0-4 YRS</t>
  </si>
  <si>
    <t>USING THE UN POPULATION DIVISION'S DATA</t>
  </si>
  <si>
    <t>FOR THE YEAR 2010</t>
  </si>
  <si>
    <t>STEP 2:</t>
  </si>
  <si>
    <t>INSERT THE PREVALENCE OF EXPOSURE TO THE 5</t>
  </si>
  <si>
    <t>KEY RISK FACTORS FOR DEVELOPMENT OF ALRI</t>
  </si>
  <si>
    <t>IN CHILDREN: MALNUTRITION, LOW BIRTH WEIGHT,</t>
  </si>
  <si>
    <t>LACK OF EXCLUSIVE BREASTFEEDING, USE OF SOLID</t>
  </si>
  <si>
    <t>FUELS AND LIVING IN CROWDED HOUSEHOLDS.</t>
  </si>
  <si>
    <t xml:space="preserve">WHEREVER THIS IN UNAVAILABLE, REPLACE WITH </t>
  </si>
  <si>
    <t>REGIONAL MEAN (AVAILABLE IN CELLS C154:H165)</t>
  </si>
  <si>
    <t>STEP 3:</t>
  </si>
  <si>
    <t>MULTIPLY THE NUMBER OF CHILDREN IN EACH COUNTRY</t>
  </si>
  <si>
    <t>(COLUMN B) WITH PREVALENCE OF EXPOSURE TO EACH</t>
  </si>
  <si>
    <t xml:space="preserve">OF THE 5 RISK FACTORS (COLUMNS D-H) TO GET THE </t>
  </si>
  <si>
    <t xml:space="preserve">NUMBER OF EXPOSED CHILDREN IN EACH COUNTRY, WHO </t>
  </si>
  <si>
    <t>WILL BE AT EXCESS RISK OF DEVELOPING ALRI</t>
  </si>
  <si>
    <t>STEP 4:</t>
  </si>
  <si>
    <t>FIRSTLY, CALCULATE THE PROPORTION OF ALL</t>
  </si>
  <si>
    <t>CHILDREN GLOBALLY (OR IN THIS CASE IN LOW</t>
  </si>
  <si>
    <t>AND MIDDLE INCOME COUNTRIES) EXPOSED TO</t>
  </si>
  <si>
    <t>EACH OF THE 5 RISK FACTORS (CELLS I152-M152);</t>
  </si>
  <si>
    <t>THEN, IN EACH COUNTRY, MULTIPLY THE % OF</t>
  </si>
  <si>
    <t>CHILDREN THAT ARE ABOVE OR BELOW THE</t>
  </si>
  <si>
    <t>GLOBAL EXPOSURE LEVEL WITH THE EXCESS</t>
  </si>
  <si>
    <t>RISK ATTRIBUTABLE TO EACH OF THE FIVE RISK</t>
  </si>
  <si>
    <t>FACTORS (SEE CELLS B155-B159 FOR ODDS RATIO)</t>
  </si>
  <si>
    <t>STEP 5:</t>
  </si>
  <si>
    <t>STARTING WITH RELATIVE RISK OF 1.00 (i.e., NO</t>
  </si>
  <si>
    <t>DIFFERENCE FROM GLOBAL LEVEL OF EXPOSURE),</t>
  </si>
  <si>
    <t xml:space="preserve">ADD OR SUBSTRACT THE VALUES FOR EACH OF </t>
  </si>
  <si>
    <t>THE FIVE RISK FACTORS FROM COLUMNS N-R; THEN,</t>
  </si>
  <si>
    <t>MULTIPLY THIS SUM (THAT CAN BE ABOVE OR BELOW</t>
  </si>
  <si>
    <t xml:space="preserve">1.00) WITH THE GLOBAL INCIDENCE OF ALRI (OR, IN </t>
  </si>
  <si>
    <t>THIS CASE, THE INCIDENCE IN LMIC COUNTRIES) AND</t>
  </si>
  <si>
    <t>WITH THE TOTAL CHILD POPULATION OF EACH</t>
  </si>
  <si>
    <t>COUNTRY (FROM COLUMN B); THIS WILL PROVIDE</t>
  </si>
  <si>
    <t>THE TOTAL NUMBER OF CASES OF ALRI (OR CLINICAL</t>
  </si>
  <si>
    <t xml:space="preserve">PNEUMONIA) IN EACH COUNTRY (COLUMN S), </t>
  </si>
  <si>
    <t>ACCORDING TO WHO DEFINITION OF PNEUMONIA</t>
  </si>
  <si>
    <t>STEP 6:</t>
  </si>
  <si>
    <t xml:space="preserve">BASICALLY, THIS PROCESS HAS ASSIGNED EACH </t>
  </si>
  <si>
    <t>COUNTRY THE GLOBAL INCIDENCE OF PNEUMONIA</t>
  </si>
  <si>
    <t xml:space="preserve">(OR, IN THIS CASE, THE INCIDENCE IN LOW AND </t>
  </si>
  <si>
    <t>MIDDLE INCOME COUNTRIES), BUT THEN INCREASED</t>
  </si>
  <si>
    <t>IT, OR DECREASED IT, BASED ON ITS RISK PROFILE</t>
  </si>
  <si>
    <t xml:space="preserve">THE GLOBAL INCIDENCE WAS DERIVED FROM </t>
  </si>
  <si>
    <t>35 COMMUNITY-BASED STUDIES PUBLISHED BETWEEN</t>
  </si>
  <si>
    <t>(0.22 EPISODES/CHILD-YEAR) AND INTER-QUARTILE</t>
  </si>
  <si>
    <t>RANGE (0.11-0.51) AS CONFIDENCE INTERVALS</t>
  </si>
  <si>
    <t>(USING DIFFERENCE FROM GLOBAL EXPOSURE MULTI-</t>
  </si>
  <si>
    <t>PLIED BY THE EXCESS RISK IN THOSE EXPOSED).</t>
  </si>
  <si>
    <t>1990 AND 2012, BY SIMPLY USING THE MEDIAN VALUE</t>
  </si>
  <si>
    <t>STEP 7:</t>
  </si>
  <si>
    <t>THE INCIDENCE OF CLINICAL PNEUMONIA IN EACH</t>
  </si>
  <si>
    <t>COUNTRY IN THE YEAR 2010, BASED ON THE RISK</t>
  </si>
  <si>
    <t>FACTOR PREVALENCE DERIVED FROM DHS, MICS AND</t>
  </si>
  <si>
    <t>THE WORLD BANK DATABASES AND OTHER SOURCES</t>
  </si>
  <si>
    <t>IN THE PERIOD CLOSEST TO THE YEAR 2010, IS NOW</t>
  </si>
  <si>
    <t>SIMPLY COMPUTED AS THE NUMBER OF NEW CASES</t>
  </si>
  <si>
    <t>(COLUMN S) DIVIDED BY THE POPULATION OF UNDER-</t>
  </si>
  <si>
    <t>FIVES (COLUMN B). IT IS PRESENTED IN COLUMN T.</t>
  </si>
  <si>
    <t>STEP 8:</t>
  </si>
  <si>
    <t>THE NUMBER OF CASES OF SEVERE PNEUMONIA,</t>
  </si>
  <si>
    <t>DEFINED ACCORDING TO THE WHO DEFINITION THAT</t>
  </si>
  <si>
    <t xml:space="preserve">REQUIRES PRESENTATION OF DANGER SIGNS AND </t>
  </si>
  <si>
    <t>REPRESENTS AN INDICATION FOR HOSPITALIZATION,</t>
  </si>
  <si>
    <t xml:space="preserve">IS COMPUTED BASED ON 9 COMMUNITY-BASED </t>
  </si>
  <si>
    <t xml:space="preserve">STUDIES WHICH REPORTED THE PROPORTION OF </t>
  </si>
  <si>
    <t>SEVERE PNEUMONIA EPISODES IN ALL EPISODES; THE</t>
  </si>
  <si>
    <t>MEDIAN = 11.5% (INTER-QUARTILE RANGE: 8.0-33.0%);</t>
  </si>
  <si>
    <t>THE MEDIAN PROPORTION (11.5%) WAS APPLIED TO</t>
  </si>
  <si>
    <t>THE NUMBER OF ALRI EPISODES TO ESTIMATE THE</t>
  </si>
  <si>
    <t>NUMBER OF SEVERE EPISODES IN EACH COUNTRY</t>
  </si>
  <si>
    <t>(COLUMN U), AND IQR WAS USED AS CONF. INTERVALS</t>
  </si>
  <si>
    <t>STEP 9:</t>
  </si>
  <si>
    <t>THE INCIDENCE OF PNEUMONIA IN HIGH-INCOME</t>
  </si>
  <si>
    <t>COUNTRIES, BASED ON A HANDFUL OF VERY</t>
  </si>
  <si>
    <t>LARGE, HIGH-QUALITY STUDIES, WAS ESTIMATED</t>
  </si>
  <si>
    <t>USING MEDIANS (AND IQR) AGAIN: IT WAS 0.015 E/CY</t>
  </si>
  <si>
    <t>IN EUR A AND AMR A REGIONS; 0.030 E/CY IN EUR B</t>
  </si>
  <si>
    <t>AND 0.060 IN EUR C; THE TOTAL WEIGHTED MEAN OF</t>
  </si>
  <si>
    <t>THOSE VALUES (FOR THE WHOLE HIC REGION) WAS</t>
  </si>
  <si>
    <t>0.024 E/CY. THE PROPORTION OF SEVERE EPISODES</t>
  </si>
  <si>
    <t>PNEUMONIA, BASED ON SEVERAL STUDIES FROM</t>
  </si>
  <si>
    <t>DUE TO HIGH HOSPITALIZATION RATES OF NEW ALRI</t>
  </si>
  <si>
    <t>STEP 10:</t>
  </si>
  <si>
    <t>A SUMMARY OF THE NUMBER OF CASES, SEVERE</t>
  </si>
  <si>
    <t>CASES, AND INCIDENCE OF CLINICAL PNEUMONIA</t>
  </si>
  <si>
    <t>BY WHO REGIONS IS GIVEN IN CELLS P152-P169;</t>
  </si>
  <si>
    <t>IN 2010, THERE WOULD HAVE BEEN 122.58 MILLION OF</t>
  </si>
  <si>
    <t>NEW CASES OF CLINICAL PNEUMONIA GLOBALLY,</t>
  </si>
  <si>
    <t>AND 13.91 MILLION OF THOSE CASES WERE SEVERE</t>
  </si>
  <si>
    <t xml:space="preserve">ACCORDING TO WHO CRITERIA AND REQUIRED </t>
  </si>
  <si>
    <t>HOSPITALIZATION. THE KEY DIFFERENCES BETWEEN</t>
  </si>
  <si>
    <t xml:space="preserve">THE ESTIMATES FOR THE YEAR 2000 AND 2010 ARE </t>
  </si>
  <si>
    <r>
      <t xml:space="preserve">GIVEN IN CELLS A169-E206. </t>
    </r>
    <r>
      <rPr>
        <sz val="10"/>
        <color indexed="10"/>
        <rFont val="Arial"/>
        <family val="2"/>
      </rPr>
      <t>IMPORTANT:</t>
    </r>
    <r>
      <rPr>
        <b/>
        <sz val="10"/>
        <rFont val="Arial"/>
        <family val="2"/>
      </rPr>
      <t xml:space="preserve"> PLEASE</t>
    </r>
  </si>
  <si>
    <t xml:space="preserve">NOTE THAT ALL THESE ESTIMATES ARE ONLY VALID </t>
  </si>
  <si>
    <t>UNDER ASSUMPTION OF NO PC OR HIB VACCINATION</t>
  </si>
  <si>
    <t>STEP 11:</t>
  </si>
  <si>
    <t>WHEREAS COLUMNS A-U ONLY CONTAINED THE ANALYSES RELEVANT</t>
  </si>
  <si>
    <t>NOW BRING THE INFORMATION ON ALL COUNTRIES (LMIC AND HIC),</t>
  </si>
  <si>
    <t>PRESENTING THEIR WHO REGION, POPULATION UNDER 5 YEARS,</t>
  </si>
  <si>
    <t>AND COPYING THE NUMBER OF NEW ALRI FROM THE COLUMN S (OR</t>
  </si>
  <si>
    <t>PROVIDING IT FOR THE FIRST TIME FOR HIGH-INCOME COUNTRIES IN</t>
  </si>
  <si>
    <t>ROWS 151-209). CONFIDENCE INTERVALS OF THE NEW ALRI (COLUMNS</t>
  </si>
  <si>
    <t xml:space="preserve">RANGE OF INCIDENCE STUDIES RELEVANT TO LMIC OR HIC REGIONS </t>
  </si>
  <si>
    <t>STEP 12:</t>
  </si>
  <si>
    <t>PNEUMONIA DEATHS</t>
  </si>
  <si>
    <t>0-27 DAYS</t>
  </si>
  <si>
    <t>1-59 MONTHS</t>
  </si>
  <si>
    <t>IN THE YEAR 2010</t>
  </si>
  <si>
    <t>TOTAL</t>
  </si>
  <si>
    <t>Neonatal deaths</t>
  </si>
  <si>
    <t>Post-neo deaths</t>
  </si>
  <si>
    <t>All deaths</t>
  </si>
  <si>
    <t>EPISODES; THEY ARE CALCULATED BY MULTIPLYING THE NUMBER</t>
  </si>
  <si>
    <t>OF NEW ALRI BY THE MEDIAN OF THE PROPORTION OF SEVERE</t>
  </si>
  <si>
    <t>EPISODES (WHO DEFINITION) OF ALL ALRI EPISODES (ALSO WHO</t>
  </si>
  <si>
    <t>DEFINITION) FROM COMMUNITY-BASED STUDIES IN LMIC AND HIC</t>
  </si>
  <si>
    <t>REGIONS; THE CONFIDENCE INTERVALS ARE DERIVED PROPORTIO-</t>
  </si>
  <si>
    <t>NALLY FROM INTER-QUARTILE RANGE OF THE ESTIMATES OF THE</t>
  </si>
  <si>
    <t>PROPORTION OF SEVERE EPISODES FROM THE STUDIES FROM THE</t>
  </si>
  <si>
    <t>RELEVANT REGION (HIC OR LMIC)</t>
  </si>
  <si>
    <t>STEP 13:</t>
  </si>
  <si>
    <t>STEP 14:</t>
  </si>
  <si>
    <t>VACCINATION) THAT ARE LIKELY TO BE CAUSED BY STREPTOCOCCUS PNEUMONIAE;</t>
  </si>
  <si>
    <t>TO BE CAUSED BY HAEMOPHILUS INFLUENZAE TYPE B; THE PROPORTION OF SEVERE</t>
  </si>
  <si>
    <t>PNEUMONIA CAUSED BY PC OR Hib WAS DERIVED FROM VACCINE TRIALS, THROUGH</t>
  </si>
  <si>
    <t>META-ANALYSIS OF THEIR EFFICACY AGAINST SEVERE DISEASE, AFTER APPROPRIATE</t>
  </si>
  <si>
    <t>ADJUSTMENTS WERE MADE STUDY-BY-STUDY TO CORRECT FOR PREVIOUS VACCINA-</t>
  </si>
  <si>
    <t>TIONS AND MAKE THE RESULTS COMPARABLE. THE PROPORTION OF PC WAS 18.3%</t>
  </si>
  <si>
    <t>(CI: 10.7-25.2%) AND OF Hib 5.8% (CI: -3.0-13.8%) - THE VALUES APPLIED IN ALL REGIONS</t>
  </si>
  <si>
    <t>OF VACCINATION) THAT ARE LIKELY TO BE CAUSED BY RESPIRATORY SYNCITIAL</t>
  </si>
  <si>
    <t>VIRUS (RSV) OR VIRUS INFLUENZAE (FLU). THE PROPORTIONS FOR EACH WHO</t>
  </si>
  <si>
    <t>REGION ARE DERIVED FROM THE PAPERS BY NAIR ET AL. ON THE GLOBAL BURDEN</t>
  </si>
  <si>
    <t>OF RSV AND FLU IN CHILDREN UNDER 5 YEARS OF AGE.</t>
  </si>
  <si>
    <t>PATHOGENS CAUSING SEVERE EPISODES OF PNEUMONIA IN CHILDREN 0-4 YEARS.</t>
  </si>
  <si>
    <t>ALL THESE ESTIMATES ARE ONLY RELEVANT IN THE ABSENCE OF IMMUNIZATION.</t>
  </si>
  <si>
    <t>STEP 15:</t>
  </si>
  <si>
    <t>PROVIDE THE ESTIMATES</t>
  </si>
  <si>
    <t>OF COVERAGE BY Hib AND</t>
  </si>
  <si>
    <t>PC VACCINES IN ALL</t>
  </si>
  <si>
    <t>COUNTRIES IN THE YEAR</t>
  </si>
  <si>
    <t>2010; THE DATA ON THE</t>
  </si>
  <si>
    <t>COVERAGE ARE PROVIDED</t>
  </si>
  <si>
    <t>AND REGULARLY UPDATED</t>
  </si>
  <si>
    <t>AT UNICEF'S WEBSITE</t>
  </si>
  <si>
    <t>STEP 16:</t>
  </si>
  <si>
    <t>THE EFFECTIVENESS OF Hib VACCINE AGAINST ALL Hib IN THE COMMUNITY</t>
  </si>
  <si>
    <t>PC AND Hib BURDEN ADJUSTED FOR VACCINE EFFECTIVENESS x COVERAGE</t>
  </si>
  <si>
    <t>NOT USED ANYMORE: PC &amp; Hib - STEP 1</t>
  </si>
  <si>
    <t>STEP 17:</t>
  </si>
  <si>
    <t>STEP 18:</t>
  </si>
  <si>
    <t>UNCHANGED BECAUSE THE PC AND Hib VACCINE</t>
  </si>
  <si>
    <t>SHOULD NOT HAVE ANY EFFECT ON THEM. THUS,</t>
  </si>
  <si>
    <t>THE VALUES SHOWN BELOW ARE THE SAME AS</t>
  </si>
  <si>
    <t>ADJUSTED FOR VACCINATION, THEIR PROPORTI-</t>
  </si>
  <si>
    <t>ONAL CONTRIBUTION WILL INCREASE, BECAUSE</t>
  </si>
  <si>
    <t>THE BURDEN OF PC AND Hib CASES WILL FALL</t>
  </si>
  <si>
    <t>EPISODES CAUSED BY RSV AND FLU; THEY ARE</t>
  </si>
  <si>
    <t>AS THE LAST STEP IN MORBIDITY CALCULATIONS, THE ENVELOPES OF SEVERE</t>
  </si>
  <si>
    <t>PNEUMONIA AND CLINICAL PNEUMONIA SHOULD BE ADJUSTED FOR IMMUNIZATION.</t>
  </si>
  <si>
    <t>THE VALUE IN THE ABSENCE OF ANY IMMUNIZATION NEEDS TO BE REDUCED BY THE</t>
  </si>
  <si>
    <t>NUMBER OF SEVERE EPISODES OF Hib AND PC PNEUMONIA THAT WERE REDUCED</t>
  </si>
  <si>
    <t>ADJUSTMENT OF THE "ENVELOPE" OF ALL CLINICAL PNEUMONIA IS ESSENTIALLY</t>
  </si>
  <si>
    <t>ACHIEVED IN THE SAME WAY - BY APPLYING THE LiST EFFECTIVENESS VALUES OF</t>
  </si>
  <si>
    <t>PC AND Hib VACCINE AGAINST CLINICAL PNEUMONIA TO THE INITIAL BURDEN, AS</t>
  </si>
  <si>
    <t>South Sudan</t>
  </si>
  <si>
    <t>IN THE YEAR 2011</t>
  </si>
  <si>
    <t>(for cell R154)</t>
  </si>
  <si>
    <t>Original Amr: 485073</t>
  </si>
  <si>
    <t>Original Eur: 296026</t>
  </si>
  <si>
    <t>Original Amr: 92395</t>
  </si>
  <si>
    <t>Original Eur: 59205</t>
  </si>
  <si>
    <t>Adjusted down (x0.87) to account for PC/Hib absence in original estimate</t>
  </si>
  <si>
    <t>Total explained</t>
  </si>
  <si>
    <t>Deaths (2010)</t>
  </si>
  <si>
    <t>Deaths (2011)</t>
  </si>
  <si>
    <t>Deaths</t>
  </si>
  <si>
    <t>Year 2011</t>
  </si>
  <si>
    <t>PC (2011)</t>
  </si>
  <si>
    <t>Hib (2011)</t>
  </si>
  <si>
    <t>2011 (%)</t>
  </si>
  <si>
    <t>WORLD (N)</t>
  </si>
  <si>
    <t>Developing (2010)</t>
  </si>
  <si>
    <t>% D'ing (2010)</t>
  </si>
  <si>
    <t>Developed (2010)</t>
  </si>
  <si>
    <t>% D'ed (2010)</t>
  </si>
  <si>
    <t>STEP 19:</t>
  </si>
  <si>
    <t>FROM MORBIDITY ESTIMATIONS, WE MOVE TO MORTALITY ESTIMATIONS IN FURTHER</t>
  </si>
  <si>
    <t>ESTIMATED BY UN's IGME GROUP, FOR THE YEARS 2010 AND 2011, AS PUBLISHED BY</t>
  </si>
  <si>
    <t>UNICEF. PLEASE NOTE "SOUTH SUDAN" APPEARING AS A SEPARATE ENTITY IN ROW</t>
  </si>
  <si>
    <t>210 IN THE YEAR 2011, AND CONTRIBUTING DEATHS TO AFRO (NOT EMRO) REGION.</t>
  </si>
  <si>
    <t>THE TOTAL NUMBER OF PNEUMONIA DEATHS DECREASED FROM 1.40 MILLION TO 1.26</t>
  </si>
  <si>
    <t>WE STARTED WITH USING THE ESTIMATES (WITH CONFIDENCE INTERVALS) OF ABSO-</t>
  </si>
  <si>
    <t>LUTE NUMBER OF PNEUMONIA DEATHS ATTRIBUTABLE TO RSV AND FLU, WHICH WERE</t>
  </si>
  <si>
    <t>DERIVED FROM TWO PAPERS BY NAIR ET AL. (SAME METHODS, APPLIED TO 2010 POP.)</t>
  </si>
  <si>
    <t>STEP 20:</t>
  </si>
  <si>
    <t>STEP 21:</t>
  </si>
  <si>
    <t>IN THE FINAL STEPS, WE ASSESSED THE NUMBER OF DEATHS IN 2011 THAT WAS ATTRIBUTABLE TO</t>
  </si>
  <si>
    <t xml:space="preserve">PC AND Hib. FIRSTLY, WE CONDUCTED META-ANALYSIS OF THEIR EFFICACY AGAINST CHEST X-RAY </t>
  </si>
  <si>
    <t>POSITIVE EPISODES OF PNEUMONIA, WHICH WERE USED AS A PROXY OUTCOME FOR DEATHS,</t>
  </si>
  <si>
    <t xml:space="preserve">AFTER APPROPRIATE ADJUSTMENTS WERE MADE STUDY-BY-STUDY TO CORRECT FOR PREVIOUS </t>
  </si>
  <si>
    <t>VACCINATIONS AND MAKE THE DEFINITIONS AND OUTCOMES COMPARABLE. THE PROPORTION OF</t>
  </si>
  <si>
    <t>WOULD APPLY TO TOTAL DEATHS IN ABSENCE OF IMMUNIZATION, WHILE WE HAD TOTAL DEATHS</t>
  </si>
  <si>
    <t>AFTER VACCINATION AGAINST PC AND Hib WAS ALREADY IMPLEMENTED. TO DERIVE THE CORRECT</t>
  </si>
  <si>
    <t>PROPORTIONS ADJUSTED FOR VACCINATION, WHICH WOULD BE APPLIED IN ALL REGIONS (HIC AND</t>
  </si>
  <si>
    <t>LMIC), WE NEEDED TO ADJUST THESE PROPORTIONS FOR VACCINATION USE. THE ADJUSTMENT IS</t>
  </si>
  <si>
    <t>VERY SIMPLE, AND IT IS DESCRIBED IN THE NEXT STEP.</t>
  </si>
  <si>
    <t>STEP 22:</t>
  </si>
  <si>
    <t>BASICALLY, THE PROPORTION OF DEATHS ATTRIBUTABLE TO PC OR Hib AFTER</t>
  </si>
  <si>
    <t xml:space="preserve">NEW (%) = (OLD (%) - X) / (100% - X) </t>
  </si>
  <si>
    <t>OBVIOUSLY, BOTH THE OLD (%), WHICH WAS ESTIMATED IN STEP 21 AS THE (%) IN ABSENCE</t>
  </si>
  <si>
    <t>OF VACCINATION, AND THE TOTAL NUMBER OF DEATHS, WILL LOSE THE SAME "CHUNK",</t>
  </si>
  <si>
    <t>((OLD(%) x VACCINE COVERAGE x VACCINE EFFICACY AGAINST PC/Hib)</t>
  </si>
  <si>
    <t>"X" IS VERY SIMPLE TO CALCULATE, BECAUSE IT IS:</t>
  </si>
  <si>
    <t>VACCINATION (NEW %), WHICH WE NEED TO ESTIMATE, IS:</t>
  </si>
  <si>
    <t xml:space="preserve">DUE TO VACCINE USE, DENOTED AS "X", AND THIS WILL LEAD TO THE NEW (%) BEING </t>
  </si>
  <si>
    <t>SMALLER THAN THE OLD (%).</t>
  </si>
  <si>
    <t>STEP 23:</t>
  </si>
  <si>
    <t xml:space="preserve">A SUMMARY OF THE NUMBER OF DEATHS DUE TO PNEUMONIA IN CHILDREN 0-4 YEARS, </t>
  </si>
  <si>
    <t>FOR ANY FURTHER EXPLANATIONS PLEASE CONTACT:</t>
  </si>
  <si>
    <t>PROFESSOR IGOR RUDAN, MD, PhD, MPH</t>
  </si>
  <si>
    <t>CHAIR IN INTERNATIONAL HEALTH AND MOLECULAR MEDICINE</t>
  </si>
  <si>
    <t>THE UNIVERSITY OF EDINBURGH MEDICAL SCHOOL</t>
  </si>
  <si>
    <t>TEVIOT PLACE, EH8 9AG, SCOTLAND, UK</t>
  </si>
  <si>
    <t>E-MAIL: Igor.Rudan@ed.ac.uk</t>
  </si>
  <si>
    <t>IS DERIVED FROM THE RELATED COCHRANE REVIEW ON INVASIVE DISEASE</t>
  </si>
  <si>
    <t>(SWINGLER GH et al., 2007) AND IT IS THE BEST AVAILABLE EVIDENCE THAT</t>
  </si>
  <si>
    <t>WE CAN USE AT THIS POINT; IT PREDICTS 80% (46-93%) EFFICACY.</t>
  </si>
  <si>
    <t>SIMILARLY, THE EFFECTIVENESS OF PC VACCINE AGAINST ALL PC IN THE</t>
  </si>
  <si>
    <t xml:space="preserve">COMMUNITY IS DERIVED FROM THE RELATED COCHRANE REVIEW ON </t>
  </si>
  <si>
    <t>INVASIVE DISEASE (LUCERO MG et al., 2009); IT PREDICTS 58% (29-75%)</t>
  </si>
  <si>
    <t>EFFICACY. ALTHOUGH THERE ARE SEVERAL IMPORTANT ASSUMPTIONS</t>
  </si>
  <si>
    <t>WHEN APPLYING THESE VALUES DIRECTLY, WE DO NOT HAVE A BETTER WAY</t>
  </si>
  <si>
    <t>Incidence (severe)</t>
  </si>
  <si>
    <t>% (severe)</t>
  </si>
  <si>
    <t>DIRECTOR OF RESEARCH, CENTRE FOR POPULATION HEALTH SCIENCES</t>
  </si>
  <si>
    <t>New</t>
  </si>
  <si>
    <t>STEP 10a:</t>
  </si>
  <si>
    <t>STEP 10b:</t>
  </si>
  <si>
    <t>RSV</t>
  </si>
  <si>
    <t>Hib</t>
  </si>
  <si>
    <t>PC</t>
  </si>
  <si>
    <t>Flu</t>
  </si>
  <si>
    <t>AT THIS POINT, WE ALSO SPLIT THE TOTAL NUMBER</t>
  </si>
  <si>
    <t>OF CHILDHOOD PNEUMONIA CASES BY ETIOLOGICAL</t>
  </si>
  <si>
    <t>CAUSE. IN COLUMNS V-X ESTIMATES ARE PROVIDED</t>
  </si>
  <si>
    <t>FOR PC, AND IN COLUMNS Y-AA FOR Hib. META-</t>
  </si>
  <si>
    <t>ANALYSIS OF PC AND Hib VACCINE TRIALS THAT WAS</t>
  </si>
  <si>
    <t>PUBLISHED BY THEODORATOU ET AL. SHOWED THAT</t>
  </si>
  <si>
    <t>AT THE COMMUNITY LEVEL PC SEEMS TO ONLY BE</t>
  </si>
  <si>
    <t>RESPONSIBLE FOR ABOUT 7% OF ALL CASES, AND</t>
  </si>
  <si>
    <t>Hib FOR 4%. WE APPLIED THOSE PROPORTIONS TO</t>
  </si>
  <si>
    <t>THE TOTAL ENVELOPE OF CHILDHOOD PNEUMONIA,</t>
  </si>
  <si>
    <t>BUT ADJUSTED THEM FOR THE PRESUMED EFFECT OF</t>
  </si>
  <si>
    <t>PC AND Hib VACCINE (SEE LATER)</t>
  </si>
  <si>
    <t>FOR RSV AND FLU, A DIFFERENT APPROACH WAS</t>
  </si>
  <si>
    <t>USED: THE PAPERS BY NAIR ET AL. ON THE GLOBAL</t>
  </si>
  <si>
    <t>BURDEN OF RSV AND FLU ESTIMATED THE BURDEN</t>
  </si>
  <si>
    <t xml:space="preserve">DIRECTLY IN RELATION TO POPULATION SIZE OF </t>
  </si>
  <si>
    <t>LOW AND MIDDLE INCOME COUNTRIES, AND HIGH</t>
  </si>
  <si>
    <t>OF INCIDENCE FOR THOSE TWO SEPARATE CAUSES,</t>
  </si>
  <si>
    <t>TO LOW AND MIDDLE INCOME COUNRIES (LMIC), COLUMNS V ONWARDS</t>
  </si>
  <si>
    <t xml:space="preserve">AT AND AU) ARE DERIVED PROPORTIONALLY FROM INTER-QUARTILE </t>
  </si>
  <si>
    <t>COLUMNS AV, AW AND AX PROVIDE THE ESTIMATES OF SEVERE</t>
  </si>
  <si>
    <t>COLUMNS AY-BA PRESENT ESTIMATED NUMBER OF SEVERE EPISODES (IN ABSENCE OF</t>
  </si>
  <si>
    <t>COLUMNS BB-BD PRESENT THE NUMBERS OF SEVERE EPISODES THAT ARE LIKELY</t>
  </si>
  <si>
    <t xml:space="preserve">COLUMNS BE-BG PRESENT ESTIMATED NUMBER OF SEVERE EPISODES (IN ABSENCE </t>
  </si>
  <si>
    <t>CELLS AR216-BC224 PROVIDE A SUMMARY OF REGIONAL BURDEN OF DIFFERENT</t>
  </si>
  <si>
    <t>CELLS AR210-BJ212 PROVIDE A BASIS FOR THOSE ESTIMATES. PLEASE NOTE THAT</t>
  </si>
  <si>
    <t>COLUMNS BL AND BM</t>
  </si>
  <si>
    <t>AT THIS POINT TO PREDICT EFFECTIVENESS; COLUMNS BO-BT SHOW THE</t>
  </si>
  <si>
    <t>COLUMNS BU-BZ SHOW THE BURDEN OF SEVERE</t>
  </si>
  <si>
    <t>THOSE IN COLUMNS BE-BJ, BUT IN THE ESTIMATE</t>
  </si>
  <si>
    <t>COLUMNS CA-CC SHOW THAT, TO ADJUST THE "ENVELOPE" OF SEVERE PNEUMONIA,</t>
  </si>
  <si>
    <t>THROUGH VACCINE USE (AS COMPUTED IN COLUMNS CA-CC - SEE BELOW).</t>
  </si>
  <si>
    <t xml:space="preserve">COMPUTED IN COLUMNS CD-CF - SEE BELOW (4% FOR HIB, 7% FOR PC); </t>
  </si>
  <si>
    <t>FOR A SUMMARY AT THE REGIONAL AND GLOBAL LEVEL, SEE CELLS BO216-CQ224</t>
  </si>
  <si>
    <t>Adjusted new ALRI in D'ing</t>
  </si>
  <si>
    <t>Adjusted new ALRI in D'ed</t>
  </si>
  <si>
    <t>Adjusted new ALRI - all</t>
  </si>
  <si>
    <t>INCOME COUNTRIES. WE USED THE ESTIMATES</t>
  </si>
  <si>
    <t>AND DIVIDED THE TOTAL FOR DEV'ED AND DEV'ING</t>
  </si>
  <si>
    <t>COUNTRIES BY OUR NEW ALRI TOTALS IN COLUMN CD</t>
  </si>
  <si>
    <t>TO GET THE % OF RSV AND FLU IN ALL NEW ALRI</t>
  </si>
  <si>
    <t>CASES SEPARATELY IN DEV'ING (0.29 AND 0.18) AND</t>
  </si>
  <si>
    <t>DEV'ED (0.54 AND 0.32, RESPECTIVELY) AND APPLIED IT</t>
  </si>
  <si>
    <t>STEPS. COLUMNS CJ-CM SHOW THE ESTIMATED NUMBER OF CHILD DEATHS (0-4 YRS)</t>
  </si>
  <si>
    <t>MILLION BETWEEN 2010 AND 2011 (CELLS CL210 AND CO211).</t>
  </si>
  <si>
    <t>IN HIC COUNTRIES WAS SET AT 26.7% OF THE INCIDENT</t>
  </si>
  <si>
    <t>HIGH-INCOME COUNTRIES. THE PROPORTION IS HIGH</t>
  </si>
  <si>
    <t xml:space="preserve">NAIR ET AL. DIRECTLY ESTIMATED THE NUMBER OF TOTAL RSV AND FLU DEATHS, BUT THE </t>
  </si>
  <si>
    <t>UNCERTAINTY OVER THOSE ESTIMATES WAS TOO LARGE TO ATTEMPT A COUNTRY-LEVEL</t>
  </si>
  <si>
    <t>PROJECTIONS. WE HOPE TO ACQUIRE MORE DATA FROM BOTH PUBLISHED AND UNPUBLISHED</t>
  </si>
  <si>
    <t>SOURCES TO ATTEMPT A NATIONAL-LEVEL ESTIMATION OF RSV AND FLU AS CAUSES OF</t>
  </si>
  <si>
    <t>PNEUMONIA MORTALITY IN THE YEAR 2015.</t>
  </si>
  <si>
    <t xml:space="preserve">PC WAS 32.75% (CI: 17.45-45.56%), AND Hib 21.26% (CI: 3.02-36.08%). HOWEVER, THESE VALUES </t>
  </si>
  <si>
    <t>CELLS CS216-DA229 SUMMARIZE ALL OUR CALCULATIONS BY CAUSE AND REGIONS.</t>
  </si>
  <si>
    <t>ALL 3 VALUES ARE AVAILABLE: IN STEP 21, COLUMNS BL/BM, AND IN STEP 16, RESPECTIVELY.</t>
  </si>
  <si>
    <t>IN THE YEAR 2011, ADJUSTED FOR THE USE OF PC AND Hib VACCINES, BY REGION AND</t>
  </si>
  <si>
    <t>BY CAUSING PATHOGEN, IS PROVIDED IN CELLS CS216:DA229.</t>
  </si>
  <si>
    <t>AUTHOR</t>
  </si>
  <si>
    <t>YEAR</t>
  </si>
  <si>
    <t>COUNTRY</t>
  </si>
  <si>
    <t>STATE</t>
  </si>
  <si>
    <t>SAMPLE</t>
  </si>
  <si>
    <t>INCIDENCE</t>
  </si>
  <si>
    <t>Andrade</t>
  </si>
  <si>
    <t>AMRO</t>
  </si>
  <si>
    <t>Urban Goiania</t>
  </si>
  <si>
    <t>Tregnaghi</t>
  </si>
  <si>
    <t>Urban Cordoba</t>
  </si>
  <si>
    <t>Suwanjutha</t>
  </si>
  <si>
    <t>SEARO</t>
  </si>
  <si>
    <t>Rural Takhli</t>
  </si>
  <si>
    <t>Riral Nakhon Phanom</t>
  </si>
  <si>
    <t>Afari</t>
  </si>
  <si>
    <t>AFRO</t>
  </si>
  <si>
    <t>central</t>
  </si>
  <si>
    <t>Vathanopas</t>
  </si>
  <si>
    <t>Bangkok</t>
  </si>
  <si>
    <t>Singh</t>
  </si>
  <si>
    <t>Wardha district, Maharastra</t>
  </si>
  <si>
    <t>Nizami</t>
  </si>
  <si>
    <t>EMRO</t>
  </si>
  <si>
    <t>Suburban Karachi</t>
  </si>
  <si>
    <t>Dibley</t>
  </si>
  <si>
    <t>Southern central Java</t>
  </si>
  <si>
    <t>SEVERE: 11.5% (8.0-33.0%)</t>
  </si>
  <si>
    <t>Deb</t>
  </si>
  <si>
    <t>West Tripura</t>
  </si>
  <si>
    <t>Cutts</t>
  </si>
  <si>
    <t>Rural Gambia</t>
  </si>
  <si>
    <t>Ghimire</t>
  </si>
  <si>
    <t>National</t>
  </si>
  <si>
    <t>Muhe</t>
  </si>
  <si>
    <t>Rural Butajira</t>
  </si>
  <si>
    <t>Robertson</t>
  </si>
  <si>
    <t>Bandung</t>
  </si>
  <si>
    <t>Lehmann</t>
  </si>
  <si>
    <t>WPRO</t>
  </si>
  <si>
    <t>Papua NG</t>
  </si>
  <si>
    <t>Tari basin</t>
  </si>
  <si>
    <t>Wafula</t>
  </si>
  <si>
    <t>Maragua</t>
  </si>
  <si>
    <t>Barreto</t>
  </si>
  <si>
    <t>Serrinha, Bahia state</t>
  </si>
  <si>
    <t>Oyejide</t>
  </si>
  <si>
    <t>Ibadan</t>
  </si>
  <si>
    <t>Zaman</t>
  </si>
  <si>
    <t>Matlab</t>
  </si>
  <si>
    <t>Roca</t>
  </si>
  <si>
    <t>Rural Manhica</t>
  </si>
  <si>
    <t>Lanata</t>
  </si>
  <si>
    <t>Canto Grande, Lima</t>
  </si>
  <si>
    <t>Reddaiah</t>
  </si>
  <si>
    <t>Rural Ballabgarh</t>
  </si>
  <si>
    <t>Khan</t>
  </si>
  <si>
    <t>Rural Ghizer</t>
  </si>
  <si>
    <t>Cruz</t>
  </si>
  <si>
    <t>Guatemala city</t>
  </si>
  <si>
    <t>Broor</t>
  </si>
  <si>
    <t>Ballabargh, rural Haryana</t>
  </si>
  <si>
    <t>Hasan</t>
  </si>
  <si>
    <t>Rural Mirzapur</t>
  </si>
  <si>
    <t>Brooks</t>
  </si>
  <si>
    <t>Urban Dhaka</t>
  </si>
  <si>
    <t>Tupasi</t>
  </si>
  <si>
    <t>Phillipines</t>
  </si>
  <si>
    <t>Albang, Manila</t>
  </si>
  <si>
    <t>Pandey</t>
  </si>
  <si>
    <t>Yumla</t>
  </si>
  <si>
    <t>Borrero</t>
  </si>
  <si>
    <t>Cali</t>
  </si>
  <si>
    <t>Hortal</t>
  </si>
  <si>
    <t>Montevideo</t>
  </si>
  <si>
    <t>Fagbule</t>
  </si>
  <si>
    <t>Ilorin, Kwara state</t>
  </si>
  <si>
    <t>Asaro valley</t>
  </si>
  <si>
    <t>Kartasasmita</t>
  </si>
  <si>
    <t>Cikutra, Bandung</t>
  </si>
  <si>
    <t>IQR 1:</t>
  </si>
  <si>
    <t>MEDIAN:</t>
  </si>
  <si>
    <t>IQR 2:</t>
  </si>
  <si>
    <t xml:space="preserve">MAX: </t>
  </si>
  <si>
    <t>MIN:</t>
  </si>
  <si>
    <t>Study on % severe ALRI</t>
  </si>
  <si>
    <t>Proportion of ALRI with chest wall indrawing</t>
  </si>
  <si>
    <t>Ballabgarh, India (Broor, 2007)</t>
  </si>
  <si>
    <t>Pakata, Nigeria (Fagbule, 1994)</t>
  </si>
  <si>
    <t>Ghizer , Pakistan, (Khan 2009)</t>
  </si>
  <si>
    <t>Bandung, Indonesia (Robertson 2004)</t>
  </si>
  <si>
    <t>Mirzapur, Bangladesh (Arifeen)</t>
  </si>
  <si>
    <t>Guatemala (Smith, 2011)</t>
  </si>
  <si>
    <t>Kamalapur (Brooks, 2010)</t>
  </si>
  <si>
    <t>Delhi, India (Chhabra 1993)</t>
  </si>
  <si>
    <t>Syria (Bashour 1994)</t>
  </si>
  <si>
    <t>IQR1:</t>
  </si>
  <si>
    <t>IQR2:</t>
  </si>
  <si>
    <t>MAX:</t>
  </si>
  <si>
    <t>STUDIES CONTRIBUTING TO THE ESTIMATES FOR HICs IN 2010:</t>
  </si>
  <si>
    <t>The burden of childhood pneumonia in the developed world: a review of the literature.</t>
  </si>
  <si>
    <t>Pediatr Infect Dis J. 2013 Mar;32(3):e119-27.</t>
  </si>
  <si>
    <t>Lee PI, Nascimento-Carvalho C, Nohynek H, O'Brien KL, Vergison A, Wolter J.</t>
  </si>
  <si>
    <t xml:space="preserve">Madhi SA, De Wals P, Grijalva CG, Grimwood K, Grossman R, Ishiwada N, </t>
  </si>
  <si>
    <t>STUDIES CONTRIBUTING TO SEVERE MORBIDITY ESTIMATES FOR LMICs IN 2010:</t>
  </si>
  <si>
    <t>STUDIES CONTRIBUTING TO THE INCIDENCE ESTIMATES FOR LMICs IN 2010:</t>
  </si>
  <si>
    <t>INCIDENCE: 0.22 (0.11-0.51)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</si>
</sst>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?&quot;#,##0;\-&quot;?&quot;#,##0"/>
    <numFmt numFmtId="181" formatCode="&quot;?&quot;#,##0;[Red]\-&quot;?&quot;#,##0"/>
    <numFmt numFmtId="182" formatCode="&quot;?&quot;#,##0.00;\-&quot;?&quot;#,##0.00"/>
    <numFmt numFmtId="183" formatCode="&quot;?&quot;#,##0.00;[Red]\-&quot;?&quot;#,##0.00"/>
    <numFmt numFmtId="184" formatCode="_-&quot;?&quot;* #,##0_-;\-&quot;?&quot;* #,##0_-;_-&quot;?&quot;* &quot;-&quot;_-;_-@_-"/>
    <numFmt numFmtId="185" formatCode="_-&quot;?&quot;* #,##0.00_-;\-&quot;?&quot;* #,##0.00_-;_-&quot;?&quot;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0.0"/>
    <numFmt numFmtId="193" formatCode="0.0000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\ ###\ ###\ ##0;\-#\ ###\ ###\ ##0;0"/>
    <numFmt numFmtId="199" formatCode="0.00000"/>
    <numFmt numFmtId="200" formatCode="0.000000"/>
  </numFmts>
  <fonts count="61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sz val="10"/>
      <color rgb="FF000090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7F7F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9FBFA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1ECFA"/>
        <bgColor indexed="64"/>
      </patternFill>
    </fill>
    <fill>
      <patternFill patternType="solid">
        <fgColor rgb="FF69F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19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42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1" fontId="0" fillId="49" borderId="10" xfId="0" applyNumberFormat="1" applyFill="1" applyBorder="1" applyAlignment="1">
      <alignment/>
    </xf>
    <xf numFmtId="2" fontId="0" fillId="49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34" borderId="0" xfId="0" applyFont="1" applyFill="1" applyAlignment="1">
      <alignment horizontal="center"/>
    </xf>
    <xf numFmtId="1" fontId="1" fillId="0" borderId="0" xfId="0" applyNumberFormat="1" applyFont="1" applyAlignment="1">
      <alignment/>
    </xf>
    <xf numFmtId="192" fontId="0" fillId="0" borderId="0" xfId="0" applyNumberFormat="1" applyFont="1" applyFill="1" applyAlignment="1">
      <alignment horizontal="right"/>
    </xf>
    <xf numFmtId="192" fontId="0" fillId="0" borderId="0" xfId="0" applyNumberFormat="1" applyFont="1" applyFill="1" applyBorder="1" applyAlignment="1">
      <alignment horizontal="right"/>
    </xf>
    <xf numFmtId="192" fontId="0" fillId="0" borderId="0" xfId="58" applyNumberFormat="1" applyFont="1" applyFill="1" applyBorder="1" applyAlignment="1">
      <alignment horizontal="right"/>
      <protection/>
    </xf>
    <xf numFmtId="192" fontId="0" fillId="0" borderId="0" xfId="0" applyNumberFormat="1" applyFill="1" applyAlignment="1">
      <alignment/>
    </xf>
    <xf numFmtId="192" fontId="0" fillId="0" borderId="0" xfId="0" applyNumberFormat="1" applyFill="1" applyBorder="1" applyAlignment="1">
      <alignment/>
    </xf>
    <xf numFmtId="194" fontId="1" fillId="0" borderId="0" xfId="0" applyNumberFormat="1" applyFont="1" applyFill="1" applyBorder="1" applyAlignment="1">
      <alignment/>
    </xf>
    <xf numFmtId="192" fontId="0" fillId="42" borderId="10" xfId="0" applyNumberFormat="1" applyFont="1" applyFill="1" applyBorder="1" applyAlignment="1">
      <alignment horizontal="right"/>
    </xf>
    <xf numFmtId="192" fontId="0" fillId="42" borderId="11" xfId="0" applyNumberFormat="1" applyFont="1" applyFill="1" applyBorder="1" applyAlignment="1">
      <alignment horizontal="right"/>
    </xf>
    <xf numFmtId="192" fontId="0" fillId="42" borderId="12" xfId="0" applyNumberFormat="1" applyFont="1" applyFill="1" applyBorder="1" applyAlignment="1">
      <alignment horizontal="right"/>
    </xf>
    <xf numFmtId="192" fontId="0" fillId="42" borderId="13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193" fontId="0" fillId="42" borderId="10" xfId="0" applyNumberFormat="1" applyFill="1" applyBorder="1" applyAlignment="1">
      <alignment/>
    </xf>
    <xf numFmtId="0" fontId="0" fillId="0" borderId="0" xfId="0" applyFill="1" applyAlignment="1">
      <alignment/>
    </xf>
    <xf numFmtId="194" fontId="1" fillId="34" borderId="15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194" fontId="1" fillId="34" borderId="10" xfId="0" applyNumberFormat="1" applyFont="1" applyFill="1" applyBorder="1" applyAlignment="1">
      <alignment/>
    </xf>
    <xf numFmtId="194" fontId="1" fillId="34" borderId="10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194" fontId="1" fillId="34" borderId="14" xfId="0" applyNumberFormat="1" applyFont="1" applyFill="1" applyBorder="1" applyAlignment="1">
      <alignment/>
    </xf>
    <xf numFmtId="194" fontId="1" fillId="34" borderId="16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2" fontId="0" fillId="37" borderId="18" xfId="0" applyNumberFormat="1" applyFill="1" applyBorder="1" applyAlignment="1">
      <alignment horizontal="center"/>
    </xf>
    <xf numFmtId="2" fontId="1" fillId="34" borderId="14" xfId="0" applyNumberFormat="1" applyFont="1" applyFill="1" applyBorder="1" applyAlignment="1">
      <alignment/>
    </xf>
    <xf numFmtId="192" fontId="0" fillId="34" borderId="16" xfId="0" applyNumberFormat="1" applyFont="1" applyFill="1" applyBorder="1" applyAlignment="1">
      <alignment horizontal="right"/>
    </xf>
    <xf numFmtId="192" fontId="0" fillId="34" borderId="16" xfId="0" applyNumberFormat="1" applyFill="1" applyBorder="1" applyAlignment="1">
      <alignment/>
    </xf>
    <xf numFmtId="192" fontId="0" fillId="34" borderId="11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20" xfId="0" applyNumberFormat="1" applyFill="1" applyBorder="1" applyAlignment="1">
      <alignment/>
    </xf>
    <xf numFmtId="2" fontId="1" fillId="34" borderId="20" xfId="0" applyNumberFormat="1" applyFont="1" applyFill="1" applyBorder="1" applyAlignment="1">
      <alignment horizontal="center"/>
    </xf>
    <xf numFmtId="192" fontId="0" fillId="34" borderId="20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1" fillId="34" borderId="0" xfId="0" applyNumberFormat="1" applyFont="1" applyFill="1" applyBorder="1" applyAlignment="1">
      <alignment horizontal="center"/>
    </xf>
    <xf numFmtId="192" fontId="0" fillId="34" borderId="0" xfId="0" applyNumberFormat="1" applyFill="1" applyBorder="1" applyAlignment="1">
      <alignment/>
    </xf>
    <xf numFmtId="2" fontId="0" fillId="34" borderId="22" xfId="0" applyNumberFormat="1" applyFill="1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192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0" fillId="34" borderId="23" xfId="0" applyNumberFormat="1" applyFill="1" applyBorder="1" applyAlignment="1">
      <alignment/>
    </xf>
    <xf numFmtId="2" fontId="0" fillId="34" borderId="24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1" fillId="34" borderId="24" xfId="0" applyNumberFormat="1" applyFont="1" applyFill="1" applyBorder="1" applyAlignment="1">
      <alignment horizontal="center"/>
    </xf>
    <xf numFmtId="194" fontId="0" fillId="37" borderId="0" xfId="0" applyNumberFormat="1" applyFill="1" applyAlignment="1">
      <alignment/>
    </xf>
    <xf numFmtId="194" fontId="1" fillId="34" borderId="10" xfId="0" applyNumberFormat="1" applyFont="1" applyFill="1" applyBorder="1" applyAlignment="1">
      <alignment horizontal="center"/>
    </xf>
    <xf numFmtId="194" fontId="0" fillId="34" borderId="19" xfId="0" applyNumberFormat="1" applyFill="1" applyBorder="1" applyAlignment="1">
      <alignment/>
    </xf>
    <xf numFmtId="194" fontId="0" fillId="34" borderId="20" xfId="0" applyNumberFormat="1" applyFill="1" applyBorder="1" applyAlignment="1">
      <alignment/>
    </xf>
    <xf numFmtId="194" fontId="1" fillId="34" borderId="20" xfId="0" applyNumberFormat="1" applyFont="1" applyFill="1" applyBorder="1" applyAlignment="1">
      <alignment horizontal="center"/>
    </xf>
    <xf numFmtId="194" fontId="0" fillId="34" borderId="23" xfId="0" applyNumberFormat="1" applyFill="1" applyBorder="1" applyAlignment="1">
      <alignment/>
    </xf>
    <xf numFmtId="194" fontId="0" fillId="34" borderId="24" xfId="0" applyNumberFormat="1" applyFill="1" applyBorder="1" applyAlignment="1">
      <alignment/>
    </xf>
    <xf numFmtId="194" fontId="0" fillId="34" borderId="10" xfId="0" applyNumberFormat="1" applyFill="1" applyBorder="1" applyAlignment="1">
      <alignment/>
    </xf>
    <xf numFmtId="194" fontId="1" fillId="34" borderId="24" xfId="0" applyNumberFormat="1" applyFont="1" applyFill="1" applyBorder="1" applyAlignment="1">
      <alignment horizontal="center"/>
    </xf>
    <xf numFmtId="1" fontId="1" fillId="34" borderId="19" xfId="0" applyNumberFormat="1" applyFont="1" applyFill="1" applyBorder="1" applyAlignment="1">
      <alignment horizontal="left"/>
    </xf>
    <xf numFmtId="1" fontId="0" fillId="34" borderId="17" xfId="0" applyNumberFormat="1" applyFill="1" applyBorder="1" applyAlignment="1">
      <alignment horizontal="left"/>
    </xf>
    <xf numFmtId="1" fontId="1" fillId="34" borderId="23" xfId="0" applyNumberFormat="1" applyFont="1" applyFill="1" applyBorder="1" applyAlignment="1">
      <alignment horizontal="left"/>
    </xf>
    <xf numFmtId="1" fontId="0" fillId="34" borderId="13" xfId="0" applyNumberFormat="1" applyFill="1" applyBorder="1" applyAlignment="1">
      <alignment horizontal="left"/>
    </xf>
    <xf numFmtId="1" fontId="1" fillId="34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34" borderId="19" xfId="0" applyNumberFormat="1" applyFont="1" applyFill="1" applyBorder="1" applyAlignment="1">
      <alignment horizontal="center"/>
    </xf>
    <xf numFmtId="2" fontId="1" fillId="34" borderId="2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94" fontId="1" fillId="50" borderId="15" xfId="0" applyNumberFormat="1" applyFont="1" applyFill="1" applyBorder="1" applyAlignment="1">
      <alignment/>
    </xf>
    <xf numFmtId="0" fontId="1" fillId="51" borderId="10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51" borderId="10" xfId="0" applyFont="1" applyFill="1" applyBorder="1" applyAlignment="1">
      <alignment/>
    </xf>
    <xf numFmtId="2" fontId="1" fillId="51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52" borderId="10" xfId="0" applyFont="1" applyFill="1" applyBorder="1" applyAlignment="1">
      <alignment/>
    </xf>
    <xf numFmtId="1" fontId="1" fillId="51" borderId="10" xfId="0" applyNumberFormat="1" applyFont="1" applyFill="1" applyBorder="1" applyAlignment="1">
      <alignment/>
    </xf>
    <xf numFmtId="192" fontId="0" fillId="0" borderId="0" xfId="61" applyNumberFormat="1" applyFont="1" applyFill="1" applyBorder="1" applyAlignment="1">
      <alignment horizontal="right" wrapText="1"/>
      <protection/>
    </xf>
    <xf numFmtId="192" fontId="0" fillId="0" borderId="0" xfId="0" applyNumberFormat="1" applyFill="1" applyAlignment="1">
      <alignment horizontal="right"/>
    </xf>
    <xf numFmtId="192" fontId="0" fillId="53" borderId="0" xfId="0" applyNumberFormat="1" applyFont="1" applyFill="1" applyBorder="1" applyAlignment="1">
      <alignment horizontal="right"/>
    </xf>
    <xf numFmtId="192" fontId="52" fillId="0" borderId="0" xfId="0" applyNumberFormat="1" applyFont="1" applyBorder="1" applyAlignment="1">
      <alignment horizontal="right" wrapText="1"/>
    </xf>
    <xf numFmtId="192" fontId="53" fillId="0" borderId="0" xfId="0" applyNumberFormat="1" applyFont="1" applyFill="1" applyBorder="1" applyAlignment="1">
      <alignment horizontal="right"/>
    </xf>
    <xf numFmtId="192" fontId="0" fillId="0" borderId="0" xfId="59" applyNumberFormat="1" applyFont="1" applyFill="1" applyBorder="1" applyAlignment="1">
      <alignment horizontal="right"/>
      <protection/>
    </xf>
    <xf numFmtId="192" fontId="0" fillId="0" borderId="0" xfId="59" applyNumberFormat="1" applyFont="1" applyFill="1" applyAlignment="1">
      <alignment horizontal="right"/>
      <protection/>
    </xf>
    <xf numFmtId="192" fontId="53" fillId="0" borderId="0" xfId="0" applyNumberFormat="1" applyFont="1" applyFill="1" applyAlignment="1">
      <alignment horizontal="right"/>
    </xf>
    <xf numFmtId="192" fontId="0" fillId="5" borderId="0" xfId="0" applyNumberFormat="1" applyFont="1" applyFill="1" applyBorder="1" applyAlignment="1">
      <alignment horizontal="right"/>
    </xf>
    <xf numFmtId="192" fontId="52" fillId="5" borderId="0" xfId="0" applyNumberFormat="1" applyFont="1" applyFill="1" applyBorder="1" applyAlignment="1">
      <alignment horizontal="right" wrapText="1"/>
    </xf>
    <xf numFmtId="192" fontId="0" fillId="5" borderId="0" xfId="0" applyNumberFormat="1" applyFont="1" applyFill="1" applyAlignment="1">
      <alignment horizontal="right"/>
    </xf>
    <xf numFmtId="192" fontId="0" fillId="5" borderId="0" xfId="0" applyNumberFormat="1" applyFill="1" applyAlignment="1">
      <alignment horizontal="right"/>
    </xf>
    <xf numFmtId="192" fontId="0" fillId="5" borderId="0" xfId="58" applyNumberFormat="1" applyFont="1" applyFill="1" applyBorder="1" applyAlignment="1">
      <alignment horizontal="right"/>
      <protection/>
    </xf>
    <xf numFmtId="192" fontId="53" fillId="5" borderId="0" xfId="0" applyNumberFormat="1" applyFont="1" applyFill="1" applyBorder="1" applyAlignment="1">
      <alignment horizontal="right"/>
    </xf>
    <xf numFmtId="192" fontId="0" fillId="5" borderId="0" xfId="59" applyNumberFormat="1" applyFont="1" applyFill="1" applyAlignment="1">
      <alignment horizontal="right"/>
      <protection/>
    </xf>
    <xf numFmtId="192" fontId="53" fillId="5" borderId="0" xfId="0" applyNumberFormat="1" applyFont="1" applyFill="1" applyAlignment="1">
      <alignment horizontal="right"/>
    </xf>
    <xf numFmtId="0" fontId="0" fillId="54" borderId="0" xfId="0" applyFill="1" applyAlignment="1">
      <alignment/>
    </xf>
    <xf numFmtId="192" fontId="0" fillId="3" borderId="0" xfId="0" applyNumberFormat="1" applyFont="1" applyFill="1" applyBorder="1" applyAlignment="1">
      <alignment horizontal="right"/>
    </xf>
    <xf numFmtId="192" fontId="0" fillId="3" borderId="0" xfId="0" applyNumberFormat="1" applyFont="1" applyFill="1" applyAlignment="1">
      <alignment horizontal="right"/>
    </xf>
    <xf numFmtId="192" fontId="53" fillId="3" borderId="0" xfId="0" applyNumberFormat="1" applyFont="1" applyFill="1" applyAlignment="1">
      <alignment horizontal="right"/>
    </xf>
    <xf numFmtId="192" fontId="0" fillId="3" borderId="0" xfId="0" applyNumberFormat="1" applyFill="1" applyAlignment="1">
      <alignment horizontal="right"/>
    </xf>
    <xf numFmtId="0" fontId="0" fillId="55" borderId="0" xfId="0" applyFill="1" applyAlignment="1">
      <alignment/>
    </xf>
    <xf numFmtId="1" fontId="0" fillId="55" borderId="0" xfId="0" applyNumberFormat="1" applyFill="1" applyAlignment="1">
      <alignment/>
    </xf>
    <xf numFmtId="1" fontId="1" fillId="55" borderId="0" xfId="0" applyNumberFormat="1" applyFont="1" applyFill="1" applyAlignment="1">
      <alignment horizontal="center"/>
    </xf>
    <xf numFmtId="0" fontId="1" fillId="55" borderId="0" xfId="0" applyFont="1" applyFill="1" applyAlignment="1">
      <alignment horizontal="center"/>
    </xf>
    <xf numFmtId="0" fontId="1" fillId="55" borderId="0" xfId="0" applyFont="1" applyFill="1" applyAlignment="1">
      <alignment horizontal="center"/>
    </xf>
    <xf numFmtId="1" fontId="54" fillId="42" borderId="10" xfId="0" applyNumberFormat="1" applyFont="1" applyFill="1" applyBorder="1" applyAlignment="1">
      <alignment/>
    </xf>
    <xf numFmtId="1" fontId="1" fillId="56" borderId="0" xfId="0" applyNumberFormat="1" applyFont="1" applyFill="1" applyAlignment="1">
      <alignment horizontal="center"/>
    </xf>
    <xf numFmtId="0" fontId="0" fillId="57" borderId="0" xfId="0" applyFill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0" fillId="57" borderId="0" xfId="0" applyFill="1" applyAlignment="1">
      <alignment horizontal="right"/>
    </xf>
    <xf numFmtId="2" fontId="0" fillId="57" borderId="0" xfId="0" applyNumberFormat="1" applyFill="1" applyAlignment="1">
      <alignment/>
    </xf>
    <xf numFmtId="0" fontId="0" fillId="57" borderId="25" xfId="0" applyFill="1" applyBorder="1" applyAlignment="1">
      <alignment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2" fontId="0" fillId="57" borderId="25" xfId="0" applyNumberFormat="1" applyFill="1" applyBorder="1" applyAlignment="1">
      <alignment/>
    </xf>
    <xf numFmtId="0" fontId="55" fillId="57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57" borderId="26" xfId="0" applyFill="1" applyBorder="1" applyAlignment="1">
      <alignment/>
    </xf>
    <xf numFmtId="1" fontId="5" fillId="0" borderId="27" xfId="60" applyNumberFormat="1" applyFont="1" applyFill="1" applyBorder="1" applyAlignment="1">
      <alignment horizontal="right" wrapText="1"/>
      <protection/>
    </xf>
    <xf numFmtId="0" fontId="1" fillId="58" borderId="10" xfId="0" applyFont="1" applyFill="1" applyBorder="1" applyAlignment="1">
      <alignment horizontal="center"/>
    </xf>
    <xf numFmtId="0" fontId="8" fillId="58" borderId="10" xfId="0" applyFont="1" applyFill="1" applyBorder="1" applyAlignment="1">
      <alignment horizontal="center"/>
    </xf>
    <xf numFmtId="1" fontId="1" fillId="58" borderId="10" xfId="0" applyNumberFormat="1" applyFont="1" applyFill="1" applyBorder="1" applyAlignment="1">
      <alignment horizontal="center"/>
    </xf>
    <xf numFmtId="0" fontId="0" fillId="52" borderId="0" xfId="0" applyFill="1" applyAlignment="1">
      <alignment/>
    </xf>
    <xf numFmtId="2" fontId="0" fillId="59" borderId="10" xfId="0" applyNumberFormat="1" applyFill="1" applyBorder="1" applyAlignment="1">
      <alignment/>
    </xf>
    <xf numFmtId="1" fontId="1" fillId="59" borderId="10" xfId="0" applyNumberFormat="1" applyFont="1" applyFill="1" applyBorder="1" applyAlignment="1">
      <alignment/>
    </xf>
    <xf numFmtId="0" fontId="1" fillId="59" borderId="10" xfId="0" applyFont="1" applyFill="1" applyBorder="1" applyAlignment="1">
      <alignment/>
    </xf>
    <xf numFmtId="1" fontId="1" fillId="19" borderId="0" xfId="0" applyNumberFormat="1" applyFont="1" applyFill="1" applyAlignment="1">
      <alignment horizontal="center"/>
    </xf>
    <xf numFmtId="1" fontId="1" fillId="51" borderId="0" xfId="0" applyNumberFormat="1" applyFont="1" applyFill="1" applyAlignment="1">
      <alignment horizontal="center"/>
    </xf>
    <xf numFmtId="1" fontId="1" fillId="57" borderId="0" xfId="0" applyNumberFormat="1" applyFont="1" applyFill="1" applyAlignment="1">
      <alignment horizontal="center"/>
    </xf>
    <xf numFmtId="1" fontId="1" fillId="52" borderId="0" xfId="0" applyNumberFormat="1" applyFont="1" applyFill="1" applyAlignment="1">
      <alignment horizontal="center"/>
    </xf>
    <xf numFmtId="1" fontId="1" fillId="51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1" fontId="0" fillId="57" borderId="0" xfId="0" applyNumberFormat="1" applyFill="1" applyAlignment="1">
      <alignment/>
    </xf>
    <xf numFmtId="1" fontId="1" fillId="51" borderId="14" xfId="0" applyNumberFormat="1" applyFont="1" applyFill="1" applyBorder="1" applyAlignment="1">
      <alignment/>
    </xf>
    <xf numFmtId="0" fontId="1" fillId="59" borderId="14" xfId="0" applyFont="1" applyFill="1" applyBorder="1" applyAlignment="1">
      <alignment/>
    </xf>
    <xf numFmtId="0" fontId="1" fillId="60" borderId="28" xfId="0" applyFont="1" applyFill="1" applyBorder="1" applyAlignment="1">
      <alignment/>
    </xf>
    <xf numFmtId="0" fontId="0" fillId="60" borderId="29" xfId="0" applyFill="1" applyBorder="1" applyAlignment="1">
      <alignment/>
    </xf>
    <xf numFmtId="1" fontId="0" fillId="60" borderId="29" xfId="0" applyNumberFormat="1" applyFill="1" applyBorder="1" applyAlignment="1">
      <alignment/>
    </xf>
    <xf numFmtId="2" fontId="0" fillId="60" borderId="29" xfId="0" applyNumberFormat="1" applyFill="1" applyBorder="1" applyAlignment="1">
      <alignment/>
    </xf>
    <xf numFmtId="0" fontId="1" fillId="60" borderId="29" xfId="0" applyFont="1" applyFill="1" applyBorder="1" applyAlignment="1">
      <alignment/>
    </xf>
    <xf numFmtId="0" fontId="0" fillId="60" borderId="30" xfId="0" applyFill="1" applyBorder="1" applyAlignment="1">
      <alignment/>
    </xf>
    <xf numFmtId="1" fontId="1" fillId="60" borderId="28" xfId="0" applyNumberFormat="1" applyFont="1" applyFill="1" applyBorder="1" applyAlignment="1">
      <alignment/>
    </xf>
    <xf numFmtId="2" fontId="0" fillId="60" borderId="30" xfId="0" applyNumberFormat="1" applyFill="1" applyBorder="1" applyAlignment="1">
      <alignment/>
    </xf>
    <xf numFmtId="2" fontId="1" fillId="56" borderId="0" xfId="0" applyNumberFormat="1" applyFont="1" applyFill="1" applyAlignment="1">
      <alignment horizontal="center"/>
    </xf>
    <xf numFmtId="2" fontId="8" fillId="58" borderId="10" xfId="0" applyNumberFormat="1" applyFont="1" applyFill="1" applyBorder="1" applyAlignment="1">
      <alignment horizontal="center"/>
    </xf>
    <xf numFmtId="0" fontId="1" fillId="60" borderId="30" xfId="0" applyFont="1" applyFill="1" applyBorder="1" applyAlignment="1">
      <alignment/>
    </xf>
    <xf numFmtId="0" fontId="1" fillId="61" borderId="10" xfId="0" applyFont="1" applyFill="1" applyBorder="1" applyAlignment="1">
      <alignment horizontal="center"/>
    </xf>
    <xf numFmtId="0" fontId="1" fillId="61" borderId="11" xfId="0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193" fontId="0" fillId="0" borderId="10" xfId="0" applyNumberFormat="1" applyFont="1" applyFill="1" applyBorder="1" applyAlignment="1">
      <alignment/>
    </xf>
    <xf numFmtId="193" fontId="0" fillId="0" borderId="10" xfId="0" applyNumberFormat="1" applyBorder="1" applyAlignment="1">
      <alignment/>
    </xf>
    <xf numFmtId="193" fontId="0" fillId="55" borderId="10" xfId="0" applyNumberFormat="1" applyFont="1" applyFill="1" applyBorder="1" applyAlignment="1">
      <alignment/>
    </xf>
    <xf numFmtId="193" fontId="0" fillId="55" borderId="10" xfId="0" applyNumberFormat="1" applyFill="1" applyBorder="1" applyAlignment="1">
      <alignment/>
    </xf>
    <xf numFmtId="1" fontId="1" fillId="59" borderId="11" xfId="0" applyNumberFormat="1" applyFont="1" applyFill="1" applyBorder="1" applyAlignment="1">
      <alignment/>
    </xf>
    <xf numFmtId="1" fontId="1" fillId="51" borderId="11" xfId="0" applyNumberFormat="1" applyFont="1" applyFill="1" applyBorder="1" applyAlignment="1">
      <alignment/>
    </xf>
    <xf numFmtId="193" fontId="1" fillId="61" borderId="10" xfId="0" applyNumberFormat="1" applyFont="1" applyFill="1" applyBorder="1" applyAlignment="1">
      <alignment horizontal="center"/>
    </xf>
    <xf numFmtId="1" fontId="0" fillId="58" borderId="0" xfId="0" applyNumberFormat="1" applyFill="1" applyAlignment="1">
      <alignment/>
    </xf>
    <xf numFmtId="0" fontId="0" fillId="51" borderId="17" xfId="0" applyFill="1" applyBorder="1" applyAlignment="1">
      <alignment/>
    </xf>
    <xf numFmtId="0" fontId="1" fillId="51" borderId="21" xfId="0" applyFont="1" applyFill="1" applyBorder="1" applyAlignment="1">
      <alignment/>
    </xf>
    <xf numFmtId="0" fontId="0" fillId="51" borderId="22" xfId="0" applyFill="1" applyBorder="1" applyAlignment="1">
      <alignment/>
    </xf>
    <xf numFmtId="0" fontId="0" fillId="51" borderId="23" xfId="0" applyFill="1" applyBorder="1" applyAlignment="1">
      <alignment/>
    </xf>
    <xf numFmtId="0" fontId="0" fillId="51" borderId="13" xfId="0" applyFill="1" applyBorder="1" applyAlignment="1">
      <alignment/>
    </xf>
    <xf numFmtId="2" fontId="0" fillId="51" borderId="20" xfId="0" applyNumberFormat="1" applyFill="1" applyBorder="1" applyAlignment="1">
      <alignment/>
    </xf>
    <xf numFmtId="192" fontId="0" fillId="51" borderId="17" xfId="0" applyNumberFormat="1" applyFill="1" applyBorder="1" applyAlignment="1">
      <alignment/>
    </xf>
    <xf numFmtId="2" fontId="0" fillId="51" borderId="0" xfId="0" applyNumberFormat="1" applyFill="1" applyBorder="1" applyAlignment="1">
      <alignment/>
    </xf>
    <xf numFmtId="192" fontId="0" fillId="51" borderId="22" xfId="0" applyNumberFormat="1" applyFill="1" applyBorder="1" applyAlignment="1">
      <alignment/>
    </xf>
    <xf numFmtId="2" fontId="0" fillId="51" borderId="24" xfId="0" applyNumberFormat="1" applyFill="1" applyBorder="1" applyAlignment="1">
      <alignment/>
    </xf>
    <xf numFmtId="192" fontId="0" fillId="51" borderId="13" xfId="0" applyNumberFormat="1" applyFill="1" applyBorder="1" applyAlignment="1">
      <alignment/>
    </xf>
    <xf numFmtId="2" fontId="1" fillId="51" borderId="21" xfId="0" applyNumberFormat="1" applyFont="1" applyFill="1" applyBorder="1" applyAlignment="1">
      <alignment/>
    </xf>
    <xf numFmtId="2" fontId="1" fillId="51" borderId="23" xfId="0" applyNumberFormat="1" applyFont="1" applyFill="1" applyBorder="1" applyAlignment="1">
      <alignment/>
    </xf>
    <xf numFmtId="2" fontId="0" fillId="51" borderId="17" xfId="0" applyNumberFormat="1" applyFill="1" applyBorder="1" applyAlignment="1">
      <alignment/>
    </xf>
    <xf numFmtId="2" fontId="0" fillId="51" borderId="22" xfId="0" applyNumberFormat="1" applyFill="1" applyBorder="1" applyAlignment="1">
      <alignment/>
    </xf>
    <xf numFmtId="2" fontId="0" fillId="51" borderId="13" xfId="0" applyNumberFormat="1" applyFill="1" applyBorder="1" applyAlignment="1">
      <alignment/>
    </xf>
    <xf numFmtId="0" fontId="0" fillId="51" borderId="20" xfId="0" applyFill="1" applyBorder="1" applyAlignment="1">
      <alignment/>
    </xf>
    <xf numFmtId="0" fontId="0" fillId="51" borderId="0" xfId="0" applyFill="1" applyBorder="1" applyAlignment="1">
      <alignment/>
    </xf>
    <xf numFmtId="0" fontId="0" fillId="51" borderId="24" xfId="0" applyFill="1" applyBorder="1" applyAlignment="1">
      <alignment/>
    </xf>
    <xf numFmtId="0" fontId="1" fillId="51" borderId="23" xfId="0" applyFont="1" applyFill="1" applyBorder="1" applyAlignment="1">
      <alignment/>
    </xf>
    <xf numFmtId="194" fontId="0" fillId="0" borderId="0" xfId="0" applyNumberFormat="1" applyFill="1" applyAlignment="1">
      <alignment/>
    </xf>
    <xf numFmtId="194" fontId="0" fillId="51" borderId="0" xfId="0" applyNumberFormat="1" applyFill="1" applyBorder="1" applyAlignment="1">
      <alignment/>
    </xf>
    <xf numFmtId="194" fontId="0" fillId="51" borderId="22" xfId="0" applyNumberFormat="1" applyFill="1" applyBorder="1" applyAlignment="1">
      <alignment/>
    </xf>
    <xf numFmtId="194" fontId="0" fillId="51" borderId="24" xfId="0" applyNumberFormat="1" applyFill="1" applyBorder="1" applyAlignment="1">
      <alignment/>
    </xf>
    <xf numFmtId="194" fontId="0" fillId="51" borderId="13" xfId="0" applyNumberFormat="1" applyFill="1" applyBorder="1" applyAlignment="1">
      <alignment/>
    </xf>
    <xf numFmtId="194" fontId="1" fillId="51" borderId="21" xfId="0" applyNumberFormat="1" applyFont="1" applyFill="1" applyBorder="1" applyAlignment="1">
      <alignment/>
    </xf>
    <xf numFmtId="194" fontId="1" fillId="51" borderId="23" xfId="0" applyNumberFormat="1" applyFont="1" applyFill="1" applyBorder="1" applyAlignment="1">
      <alignment/>
    </xf>
    <xf numFmtId="1" fontId="1" fillId="51" borderId="21" xfId="0" applyNumberFormat="1" applyFont="1" applyFill="1" applyBorder="1" applyAlignment="1">
      <alignment/>
    </xf>
    <xf numFmtId="2" fontId="1" fillId="51" borderId="0" xfId="0" applyNumberFormat="1" applyFont="1" applyFill="1" applyBorder="1" applyAlignment="1">
      <alignment/>
    </xf>
    <xf numFmtId="1" fontId="1" fillId="51" borderId="0" xfId="0" applyNumberFormat="1" applyFont="1" applyFill="1" applyBorder="1" applyAlignment="1">
      <alignment/>
    </xf>
    <xf numFmtId="1" fontId="1" fillId="51" borderId="22" xfId="0" applyNumberFormat="1" applyFont="1" applyFill="1" applyBorder="1" applyAlignment="1">
      <alignment/>
    </xf>
    <xf numFmtId="1" fontId="1" fillId="51" borderId="23" xfId="0" applyNumberFormat="1" applyFont="1" applyFill="1" applyBorder="1" applyAlignment="1">
      <alignment/>
    </xf>
    <xf numFmtId="2" fontId="1" fillId="51" borderId="24" xfId="0" applyNumberFormat="1" applyFont="1" applyFill="1" applyBorder="1" applyAlignment="1">
      <alignment/>
    </xf>
    <xf numFmtId="1" fontId="1" fillId="51" borderId="24" xfId="0" applyNumberFormat="1" applyFont="1" applyFill="1" applyBorder="1" applyAlignment="1">
      <alignment/>
    </xf>
    <xf numFmtId="1" fontId="1" fillId="51" borderId="13" xfId="0" applyNumberFormat="1" applyFont="1" applyFill="1" applyBorder="1" applyAlignment="1">
      <alignment/>
    </xf>
    <xf numFmtId="1" fontId="0" fillId="51" borderId="0" xfId="0" applyNumberFormat="1" applyFill="1" applyBorder="1" applyAlignment="1">
      <alignment/>
    </xf>
    <xf numFmtId="1" fontId="0" fillId="51" borderId="22" xfId="0" applyNumberFormat="1" applyFill="1" applyBorder="1" applyAlignment="1">
      <alignment/>
    </xf>
    <xf numFmtId="1" fontId="0" fillId="51" borderId="24" xfId="0" applyNumberFormat="1" applyFill="1" applyBorder="1" applyAlignment="1">
      <alignment/>
    </xf>
    <xf numFmtId="1" fontId="0" fillId="51" borderId="13" xfId="0" applyNumberFormat="1" applyFill="1" applyBorder="1" applyAlignment="1">
      <alignment/>
    </xf>
    <xf numFmtId="0" fontId="56" fillId="51" borderId="19" xfId="0" applyFont="1" applyFill="1" applyBorder="1" applyAlignment="1">
      <alignment/>
    </xf>
    <xf numFmtId="0" fontId="57" fillId="0" borderId="0" xfId="0" applyFont="1" applyAlignment="1">
      <alignment/>
    </xf>
    <xf numFmtId="2" fontId="56" fillId="51" borderId="19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62" borderId="0" xfId="0" applyFill="1" applyAlignment="1">
      <alignment/>
    </xf>
    <xf numFmtId="0" fontId="1" fillId="62" borderId="0" xfId="0" applyFont="1" applyFill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1" fillId="58" borderId="10" xfId="0" applyNumberFormat="1" applyFont="1" applyFill="1" applyBorder="1" applyAlignment="1">
      <alignment/>
    </xf>
    <xf numFmtId="192" fontId="0" fillId="51" borderId="20" xfId="0" applyNumberFormat="1" applyFill="1" applyBorder="1" applyAlignment="1">
      <alignment/>
    </xf>
    <xf numFmtId="192" fontId="0" fillId="51" borderId="0" xfId="0" applyNumberFormat="1" applyFill="1" applyBorder="1" applyAlignment="1">
      <alignment/>
    </xf>
    <xf numFmtId="2" fontId="1" fillId="51" borderId="15" xfId="0" applyNumberFormat="1" applyFont="1" applyFill="1" applyBorder="1" applyAlignment="1">
      <alignment horizontal="center"/>
    </xf>
    <xf numFmtId="2" fontId="1" fillId="51" borderId="31" xfId="0" applyNumberFormat="1" applyFont="1" applyFill="1" applyBorder="1" applyAlignment="1">
      <alignment horizontal="center"/>
    </xf>
    <xf numFmtId="2" fontId="1" fillId="51" borderId="12" xfId="0" applyNumberFormat="1" applyFont="1" applyFill="1" applyBorder="1" applyAlignment="1">
      <alignment horizontal="center"/>
    </xf>
    <xf numFmtId="2" fontId="1" fillId="13" borderId="15" xfId="0" applyNumberFormat="1" applyFont="1" applyFill="1" applyBorder="1" applyAlignment="1">
      <alignment horizontal="center"/>
    </xf>
    <xf numFmtId="2" fontId="1" fillId="13" borderId="31" xfId="0" applyNumberFormat="1" applyFont="1" applyFill="1" applyBorder="1" applyAlignment="1">
      <alignment horizontal="center"/>
    </xf>
    <xf numFmtId="2" fontId="1" fillId="13" borderId="12" xfId="0" applyNumberFormat="1" applyFont="1" applyFill="1" applyBorder="1" applyAlignment="1">
      <alignment horizontal="center"/>
    </xf>
    <xf numFmtId="0" fontId="1" fillId="54" borderId="0" xfId="0" applyFont="1" applyFill="1" applyAlignment="1">
      <alignment horizontal="center"/>
    </xf>
    <xf numFmtId="1" fontId="0" fillId="54" borderId="0" xfId="0" applyNumberFormat="1" applyFont="1" applyFill="1" applyAlignment="1">
      <alignment/>
    </xf>
    <xf numFmtId="1" fontId="0" fillId="54" borderId="0" xfId="0" applyNumberFormat="1" applyFill="1" applyAlignment="1">
      <alignment/>
    </xf>
    <xf numFmtId="194" fontId="0" fillId="54" borderId="0" xfId="0" applyNumberFormat="1" applyFill="1" applyAlignment="1">
      <alignment/>
    </xf>
    <xf numFmtId="193" fontId="54" fillId="42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193" fontId="0" fillId="54" borderId="0" xfId="0" applyNumberFormat="1" applyFill="1" applyAlignment="1">
      <alignment/>
    </xf>
    <xf numFmtId="1" fontId="0" fillId="57" borderId="0" xfId="0" applyNumberFormat="1" applyFont="1" applyFill="1" applyAlignment="1">
      <alignment/>
    </xf>
    <xf numFmtId="2" fontId="1" fillId="59" borderId="10" xfId="0" applyNumberFormat="1" applyFont="1" applyFill="1" applyBorder="1" applyAlignment="1">
      <alignment/>
    </xf>
    <xf numFmtId="193" fontId="0" fillId="58" borderId="10" xfId="0" applyNumberFormat="1" applyFill="1" applyBorder="1" applyAlignment="1">
      <alignment/>
    </xf>
    <xf numFmtId="0" fontId="1" fillId="63" borderId="0" xfId="0" applyFont="1" applyFill="1" applyAlignment="1">
      <alignment/>
    </xf>
    <xf numFmtId="1" fontId="1" fillId="63" borderId="0" xfId="0" applyNumberFormat="1" applyFont="1" applyFill="1" applyAlignment="1">
      <alignment horizontal="center"/>
    </xf>
    <xf numFmtId="1" fontId="1" fillId="63" borderId="0" xfId="0" applyNumberFormat="1" applyFont="1" applyFill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93" fontId="0" fillId="7" borderId="10" xfId="0" applyNumberFormat="1" applyFill="1" applyBorder="1" applyAlignment="1">
      <alignment/>
    </xf>
    <xf numFmtId="193" fontId="0" fillId="5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9" fontId="1" fillId="59" borderId="10" xfId="0" applyNumberFormat="1" applyFont="1" applyFill="1" applyBorder="1" applyAlignment="1">
      <alignment/>
    </xf>
    <xf numFmtId="193" fontId="1" fillId="59" borderId="10" xfId="0" applyNumberFormat="1" applyFont="1" applyFill="1" applyBorder="1" applyAlignment="1">
      <alignment/>
    </xf>
    <xf numFmtId="193" fontId="0" fillId="0" borderId="0" xfId="0" applyNumberFormat="1" applyFill="1" applyBorder="1" applyAlignment="1">
      <alignment/>
    </xf>
    <xf numFmtId="193" fontId="1" fillId="51" borderId="10" xfId="0" applyNumberFormat="1" applyFont="1" applyFill="1" applyBorder="1" applyAlignment="1">
      <alignment/>
    </xf>
    <xf numFmtId="1" fontId="10" fillId="51" borderId="21" xfId="53" applyNumberFormat="1" applyFont="1" applyFill="1" applyBorder="1" applyAlignment="1" applyProtection="1">
      <alignment/>
      <protection/>
    </xf>
    <xf numFmtId="1" fontId="0" fillId="63" borderId="0" xfId="0" applyNumberFormat="1" applyFill="1" applyAlignment="1">
      <alignment/>
    </xf>
    <xf numFmtId="193" fontId="0" fillId="60" borderId="10" xfId="0" applyNumberFormat="1" applyFill="1" applyBorder="1" applyAlignment="1">
      <alignment/>
    </xf>
    <xf numFmtId="194" fontId="0" fillId="0" borderId="0" xfId="0" applyNumberFormat="1" applyFill="1" applyBorder="1" applyAlignment="1">
      <alignment/>
    </xf>
    <xf numFmtId="1" fontId="0" fillId="64" borderId="10" xfId="0" applyNumberFormat="1" applyFill="1" applyBorder="1" applyAlignment="1">
      <alignment/>
    </xf>
    <xf numFmtId="193" fontId="0" fillId="64" borderId="10" xfId="0" applyNumberFormat="1" applyFill="1" applyBorder="1" applyAlignment="1">
      <alignment/>
    </xf>
    <xf numFmtId="1" fontId="0" fillId="64" borderId="10" xfId="0" applyNumberFormat="1" applyFill="1" applyBorder="1" applyAlignment="1">
      <alignment horizontal="right"/>
    </xf>
    <xf numFmtId="2" fontId="11" fillId="0" borderId="0" xfId="0" applyNumberFormat="1" applyFont="1" applyAlignment="1">
      <alignment/>
    </xf>
    <xf numFmtId="194" fontId="0" fillId="64" borderId="19" xfId="0" applyNumberFormat="1" applyFill="1" applyBorder="1" applyAlignment="1">
      <alignment/>
    </xf>
    <xf numFmtId="2" fontId="0" fillId="64" borderId="20" xfId="0" applyNumberFormat="1" applyFill="1" applyBorder="1" applyAlignment="1">
      <alignment/>
    </xf>
    <xf numFmtId="1" fontId="0" fillId="64" borderId="17" xfId="0" applyNumberFormat="1" applyFill="1" applyBorder="1" applyAlignment="1">
      <alignment/>
    </xf>
    <xf numFmtId="194" fontId="0" fillId="64" borderId="23" xfId="0" applyNumberFormat="1" applyFill="1" applyBorder="1" applyAlignment="1">
      <alignment/>
    </xf>
    <xf numFmtId="2" fontId="0" fillId="64" borderId="24" xfId="0" applyNumberFormat="1" applyFill="1" applyBorder="1" applyAlignment="1">
      <alignment/>
    </xf>
    <xf numFmtId="1" fontId="0" fillId="64" borderId="13" xfId="0" applyNumberFormat="1" applyFill="1" applyBorder="1" applyAlignment="1">
      <alignment/>
    </xf>
    <xf numFmtId="194" fontId="0" fillId="64" borderId="14" xfId="0" applyNumberFormat="1" applyFill="1" applyBorder="1" applyAlignment="1">
      <alignment/>
    </xf>
    <xf numFmtId="2" fontId="0" fillId="64" borderId="16" xfId="0" applyNumberFormat="1" applyFill="1" applyBorder="1" applyAlignment="1">
      <alignment/>
    </xf>
    <xf numFmtId="1" fontId="0" fillId="64" borderId="11" xfId="0" applyNumberFormat="1" applyFill="1" applyBorder="1" applyAlignment="1">
      <alignment/>
    </xf>
    <xf numFmtId="193" fontId="0" fillId="60" borderId="10" xfId="0" applyNumberFormat="1" applyFill="1" applyBorder="1" applyAlignment="1">
      <alignment/>
    </xf>
    <xf numFmtId="1" fontId="0" fillId="51" borderId="0" xfId="0" applyNumberFormat="1" applyFill="1" applyAlignment="1">
      <alignment/>
    </xf>
    <xf numFmtId="2" fontId="1" fillId="0" borderId="0" xfId="0" applyNumberFormat="1" applyFont="1" applyFill="1" applyBorder="1" applyAlignment="1">
      <alignment/>
    </xf>
    <xf numFmtId="19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2" fontId="0" fillId="51" borderId="24" xfId="0" applyNumberFormat="1" applyFill="1" applyBorder="1" applyAlignment="1">
      <alignment/>
    </xf>
    <xf numFmtId="2" fontId="56" fillId="0" borderId="0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192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58" fillId="61" borderId="0" xfId="0" applyFont="1" applyFill="1" applyAlignment="1">
      <alignment/>
    </xf>
    <xf numFmtId="194" fontId="58" fillId="61" borderId="0" xfId="0" applyNumberFormat="1" applyFont="1" applyFill="1" applyAlignment="1">
      <alignment/>
    </xf>
    <xf numFmtId="0" fontId="58" fillId="0" borderId="0" xfId="0" applyFont="1" applyAlignment="1">
      <alignment/>
    </xf>
    <xf numFmtId="194" fontId="58" fillId="0" borderId="0" xfId="0" applyNumberFormat="1" applyFont="1" applyAlignment="1">
      <alignment/>
    </xf>
    <xf numFmtId="0" fontId="58" fillId="65" borderId="0" xfId="0" applyFont="1" applyFill="1" applyAlignment="1">
      <alignment/>
    </xf>
    <xf numFmtId="0" fontId="58" fillId="0" borderId="0" xfId="0" applyFont="1" applyFill="1" applyAlignment="1">
      <alignment/>
    </xf>
    <xf numFmtId="194" fontId="58" fillId="0" borderId="0" xfId="0" applyNumberFormat="1" applyFont="1" applyFill="1" applyAlignment="1">
      <alignment/>
    </xf>
    <xf numFmtId="0" fontId="58" fillId="66" borderId="0" xfId="0" applyFont="1" applyFill="1" applyAlignment="1">
      <alignment/>
    </xf>
    <xf numFmtId="194" fontId="58" fillId="66" borderId="0" xfId="0" applyNumberFormat="1" applyFont="1" applyFill="1" applyAlignment="1">
      <alignment/>
    </xf>
    <xf numFmtId="0" fontId="12" fillId="67" borderId="0" xfId="0" applyFont="1" applyFill="1" applyAlignment="1">
      <alignment/>
    </xf>
    <xf numFmtId="0" fontId="0" fillId="0" borderId="0" xfId="0" applyAlignment="1">
      <alignment horizontal="center"/>
    </xf>
    <xf numFmtId="0" fontId="12" fillId="67" borderId="0" xfId="0" applyFont="1" applyFill="1" applyAlignment="1">
      <alignment horizontal="center"/>
    </xf>
    <xf numFmtId="0" fontId="58" fillId="66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58" fillId="61" borderId="0" xfId="0" applyFont="1" applyFill="1" applyAlignment="1">
      <alignment horizontal="center"/>
    </xf>
    <xf numFmtId="0" fontId="58" fillId="51" borderId="0" xfId="0" applyFont="1" applyFill="1" applyAlignment="1">
      <alignment/>
    </xf>
    <xf numFmtId="0" fontId="58" fillId="51" borderId="0" xfId="0" applyFont="1" applyFill="1" applyAlignment="1">
      <alignment horizontal="center"/>
    </xf>
    <xf numFmtId="194" fontId="58" fillId="51" borderId="0" xfId="0" applyNumberFormat="1" applyFont="1" applyFill="1" applyAlignment="1">
      <alignment/>
    </xf>
    <xf numFmtId="0" fontId="0" fillId="67" borderId="0" xfId="0" applyFill="1" applyAlignment="1">
      <alignment/>
    </xf>
    <xf numFmtId="9" fontId="58" fillId="0" borderId="0" xfId="0" applyNumberFormat="1" applyFont="1" applyAlignment="1">
      <alignment/>
    </xf>
    <xf numFmtId="10" fontId="58" fillId="0" borderId="0" xfId="0" applyNumberFormat="1" applyFont="1" applyAlignment="1">
      <alignment/>
    </xf>
    <xf numFmtId="0" fontId="59" fillId="67" borderId="0" xfId="0" applyFont="1" applyFill="1" applyAlignment="1">
      <alignment/>
    </xf>
    <xf numFmtId="9" fontId="58" fillId="51" borderId="0" xfId="0" applyNumberFormat="1" applyFont="1" applyFill="1" applyAlignment="1">
      <alignment/>
    </xf>
    <xf numFmtId="10" fontId="58" fillId="51" borderId="0" xfId="0" applyNumberFormat="1" applyFont="1" applyFill="1" applyAlignment="1">
      <alignment/>
    </xf>
    <xf numFmtId="0" fontId="60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DG__MARCH 2004" xfId="58"/>
    <cellStyle name="Normal_NEW DHS data calculated by Trevor" xfId="59"/>
    <cellStyle name="Normal_Sheet1" xfId="60"/>
    <cellStyle name="Normal_TREND Calculation of LBW and not weighted July 23 2004 NN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38100</xdr:rowOff>
    </xdr:from>
    <xdr:to>
      <xdr:col>2</xdr:col>
      <xdr:colOff>600075</xdr:colOff>
      <xdr:row>6</xdr:row>
      <xdr:rowOff>0</xdr:rowOff>
    </xdr:to>
    <xdr:sp>
      <xdr:nvSpPr>
        <xdr:cNvPr id="1" name="Right Arrow 1"/>
        <xdr:cNvSpPr>
          <a:spLocks/>
        </xdr:cNvSpPr>
      </xdr:nvSpPr>
      <xdr:spPr>
        <a:xfrm>
          <a:off x="3219450" y="685800"/>
          <a:ext cx="438150" cy="285750"/>
        </a:xfrm>
        <a:prstGeom prst="rightArrow">
          <a:avLst>
            <a:gd name="adj" fmla="val 2051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4</xdr:row>
      <xdr:rowOff>57150</xdr:rowOff>
    </xdr:from>
    <xdr:to>
      <xdr:col>7</xdr:col>
      <xdr:colOff>571500</xdr:colOff>
      <xdr:row>6</xdr:row>
      <xdr:rowOff>9525</xdr:rowOff>
    </xdr:to>
    <xdr:sp>
      <xdr:nvSpPr>
        <xdr:cNvPr id="2" name="Right Arrow 2"/>
        <xdr:cNvSpPr>
          <a:spLocks/>
        </xdr:cNvSpPr>
      </xdr:nvSpPr>
      <xdr:spPr>
        <a:xfrm>
          <a:off x="7372350" y="704850"/>
          <a:ext cx="438150" cy="276225"/>
        </a:xfrm>
        <a:prstGeom prst="rightArrow">
          <a:avLst>
            <a:gd name="adj" fmla="val 2051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4</xdr:row>
      <xdr:rowOff>57150</xdr:rowOff>
    </xdr:from>
    <xdr:to>
      <xdr:col>12</xdr:col>
      <xdr:colOff>571500</xdr:colOff>
      <xdr:row>6</xdr:row>
      <xdr:rowOff>9525</xdr:rowOff>
    </xdr:to>
    <xdr:sp>
      <xdr:nvSpPr>
        <xdr:cNvPr id="3" name="Right Arrow 3"/>
        <xdr:cNvSpPr>
          <a:spLocks/>
        </xdr:cNvSpPr>
      </xdr:nvSpPr>
      <xdr:spPr>
        <a:xfrm>
          <a:off x="11534775" y="704850"/>
          <a:ext cx="438150" cy="276225"/>
        </a:xfrm>
        <a:prstGeom prst="rightArrow">
          <a:avLst>
            <a:gd name="adj" fmla="val 2051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</xdr:row>
      <xdr:rowOff>66675</xdr:rowOff>
    </xdr:from>
    <xdr:to>
      <xdr:col>17</xdr:col>
      <xdr:colOff>533400</xdr:colOff>
      <xdr:row>6</xdr:row>
      <xdr:rowOff>28575</xdr:rowOff>
    </xdr:to>
    <xdr:sp>
      <xdr:nvSpPr>
        <xdr:cNvPr id="4" name="Right Arrow 4"/>
        <xdr:cNvSpPr>
          <a:spLocks/>
        </xdr:cNvSpPr>
      </xdr:nvSpPr>
      <xdr:spPr>
        <a:xfrm>
          <a:off x="15544800" y="714375"/>
          <a:ext cx="428625" cy="285750"/>
        </a:xfrm>
        <a:prstGeom prst="rightArrow">
          <a:avLst>
            <a:gd name="adj" fmla="val 2051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257175</xdr:colOff>
      <xdr:row>4</xdr:row>
      <xdr:rowOff>0</xdr:rowOff>
    </xdr:from>
    <xdr:to>
      <xdr:col>43</xdr:col>
      <xdr:colOff>685800</xdr:colOff>
      <xdr:row>5</xdr:row>
      <xdr:rowOff>133350</xdr:rowOff>
    </xdr:to>
    <xdr:sp>
      <xdr:nvSpPr>
        <xdr:cNvPr id="5" name="Right Arrow 12"/>
        <xdr:cNvSpPr>
          <a:spLocks/>
        </xdr:cNvSpPr>
      </xdr:nvSpPr>
      <xdr:spPr>
        <a:xfrm>
          <a:off x="38271450" y="647700"/>
          <a:ext cx="428625" cy="295275"/>
        </a:xfrm>
        <a:prstGeom prst="rightArrow">
          <a:avLst>
            <a:gd name="adj" fmla="val 217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333375</xdr:colOff>
      <xdr:row>3</xdr:row>
      <xdr:rowOff>152400</xdr:rowOff>
    </xdr:from>
    <xdr:to>
      <xdr:col>48</xdr:col>
      <xdr:colOff>762000</xdr:colOff>
      <xdr:row>5</xdr:row>
      <xdr:rowOff>123825</xdr:rowOff>
    </xdr:to>
    <xdr:sp>
      <xdr:nvSpPr>
        <xdr:cNvPr id="6" name="Right Arrow 13"/>
        <xdr:cNvSpPr>
          <a:spLocks/>
        </xdr:cNvSpPr>
      </xdr:nvSpPr>
      <xdr:spPr>
        <a:xfrm>
          <a:off x="43510200" y="638175"/>
          <a:ext cx="428625" cy="295275"/>
        </a:xfrm>
        <a:prstGeom prst="rightArrow">
          <a:avLst>
            <a:gd name="adj" fmla="val 217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142875</xdr:colOff>
      <xdr:row>4</xdr:row>
      <xdr:rowOff>28575</xdr:rowOff>
    </xdr:from>
    <xdr:to>
      <xdr:col>55</xdr:col>
      <xdr:colOff>581025</xdr:colOff>
      <xdr:row>6</xdr:row>
      <xdr:rowOff>0</xdr:rowOff>
    </xdr:to>
    <xdr:sp>
      <xdr:nvSpPr>
        <xdr:cNvPr id="7" name="Right Arrow 14"/>
        <xdr:cNvSpPr>
          <a:spLocks/>
        </xdr:cNvSpPr>
      </xdr:nvSpPr>
      <xdr:spPr>
        <a:xfrm>
          <a:off x="49672875" y="676275"/>
          <a:ext cx="438150" cy="295275"/>
        </a:xfrm>
        <a:prstGeom prst="rightArrow">
          <a:avLst>
            <a:gd name="adj" fmla="val 217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123825</xdr:colOff>
      <xdr:row>4</xdr:row>
      <xdr:rowOff>0</xdr:rowOff>
    </xdr:from>
    <xdr:to>
      <xdr:col>62</xdr:col>
      <xdr:colOff>552450</xdr:colOff>
      <xdr:row>5</xdr:row>
      <xdr:rowOff>133350</xdr:rowOff>
    </xdr:to>
    <xdr:sp>
      <xdr:nvSpPr>
        <xdr:cNvPr id="8" name="Right Arrow 15"/>
        <xdr:cNvSpPr>
          <a:spLocks/>
        </xdr:cNvSpPr>
      </xdr:nvSpPr>
      <xdr:spPr>
        <a:xfrm>
          <a:off x="55683150" y="647700"/>
          <a:ext cx="428625" cy="295275"/>
        </a:xfrm>
        <a:prstGeom prst="rightArrow">
          <a:avLst>
            <a:gd name="adj" fmla="val 217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123825</xdr:colOff>
      <xdr:row>4</xdr:row>
      <xdr:rowOff>0</xdr:rowOff>
    </xdr:from>
    <xdr:to>
      <xdr:col>65</xdr:col>
      <xdr:colOff>552450</xdr:colOff>
      <xdr:row>5</xdr:row>
      <xdr:rowOff>133350</xdr:rowOff>
    </xdr:to>
    <xdr:sp>
      <xdr:nvSpPr>
        <xdr:cNvPr id="9" name="Right Arrow 16"/>
        <xdr:cNvSpPr>
          <a:spLocks/>
        </xdr:cNvSpPr>
      </xdr:nvSpPr>
      <xdr:spPr>
        <a:xfrm>
          <a:off x="57978675" y="647700"/>
          <a:ext cx="428625" cy="295275"/>
        </a:xfrm>
        <a:prstGeom prst="rightArrow">
          <a:avLst>
            <a:gd name="adj" fmla="val 217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133350</xdr:colOff>
      <xdr:row>3</xdr:row>
      <xdr:rowOff>133350</xdr:rowOff>
    </xdr:from>
    <xdr:to>
      <xdr:col>72</xdr:col>
      <xdr:colOff>561975</xdr:colOff>
      <xdr:row>5</xdr:row>
      <xdr:rowOff>104775</xdr:rowOff>
    </xdr:to>
    <xdr:sp>
      <xdr:nvSpPr>
        <xdr:cNvPr id="10" name="Right Arrow 17"/>
        <xdr:cNvSpPr>
          <a:spLocks/>
        </xdr:cNvSpPr>
      </xdr:nvSpPr>
      <xdr:spPr>
        <a:xfrm>
          <a:off x="63398400" y="619125"/>
          <a:ext cx="428625" cy="295275"/>
        </a:xfrm>
        <a:prstGeom prst="rightArrow">
          <a:avLst>
            <a:gd name="adj" fmla="val 217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123825</xdr:colOff>
      <xdr:row>4</xdr:row>
      <xdr:rowOff>28575</xdr:rowOff>
    </xdr:from>
    <xdr:to>
      <xdr:col>77</xdr:col>
      <xdr:colOff>552450</xdr:colOff>
      <xdr:row>6</xdr:row>
      <xdr:rowOff>0</xdr:rowOff>
    </xdr:to>
    <xdr:sp>
      <xdr:nvSpPr>
        <xdr:cNvPr id="11" name="Right Arrow 18"/>
        <xdr:cNvSpPr>
          <a:spLocks/>
        </xdr:cNvSpPr>
      </xdr:nvSpPr>
      <xdr:spPr>
        <a:xfrm>
          <a:off x="67179825" y="676275"/>
          <a:ext cx="428625" cy="295275"/>
        </a:xfrm>
        <a:prstGeom prst="rightArrow">
          <a:avLst>
            <a:gd name="adj" fmla="val 217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142875</xdr:colOff>
      <xdr:row>4</xdr:row>
      <xdr:rowOff>38100</xdr:rowOff>
    </xdr:from>
    <xdr:to>
      <xdr:col>84</xdr:col>
      <xdr:colOff>1343025</xdr:colOff>
      <xdr:row>6</xdr:row>
      <xdr:rowOff>57150</xdr:rowOff>
    </xdr:to>
    <xdr:sp>
      <xdr:nvSpPr>
        <xdr:cNvPr id="12" name="Right Arrow 19"/>
        <xdr:cNvSpPr>
          <a:spLocks/>
        </xdr:cNvSpPr>
      </xdr:nvSpPr>
      <xdr:spPr>
        <a:xfrm>
          <a:off x="73256775" y="685800"/>
          <a:ext cx="1200150" cy="342900"/>
        </a:xfrm>
        <a:prstGeom prst="rightArrow">
          <a:avLst>
            <a:gd name="adj" fmla="val 384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238125</xdr:colOff>
      <xdr:row>4</xdr:row>
      <xdr:rowOff>95250</xdr:rowOff>
    </xdr:from>
    <xdr:to>
      <xdr:col>91</xdr:col>
      <xdr:colOff>666750</xdr:colOff>
      <xdr:row>6</xdr:row>
      <xdr:rowOff>66675</xdr:rowOff>
    </xdr:to>
    <xdr:sp>
      <xdr:nvSpPr>
        <xdr:cNvPr id="13" name="Right Arrow 20"/>
        <xdr:cNvSpPr>
          <a:spLocks/>
        </xdr:cNvSpPr>
      </xdr:nvSpPr>
      <xdr:spPr>
        <a:xfrm>
          <a:off x="80314800" y="742950"/>
          <a:ext cx="428625" cy="295275"/>
        </a:xfrm>
        <a:prstGeom prst="rightArrow">
          <a:avLst>
            <a:gd name="adj" fmla="val 217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209550</xdr:colOff>
      <xdr:row>5</xdr:row>
      <xdr:rowOff>0</xdr:rowOff>
    </xdr:from>
    <xdr:to>
      <xdr:col>98</xdr:col>
      <xdr:colOff>638175</xdr:colOff>
      <xdr:row>6</xdr:row>
      <xdr:rowOff>133350</xdr:rowOff>
    </xdr:to>
    <xdr:sp>
      <xdr:nvSpPr>
        <xdr:cNvPr id="14" name="Right Arrow 21"/>
        <xdr:cNvSpPr>
          <a:spLocks/>
        </xdr:cNvSpPr>
      </xdr:nvSpPr>
      <xdr:spPr>
        <a:xfrm>
          <a:off x="87077550" y="809625"/>
          <a:ext cx="428625" cy="295275"/>
        </a:xfrm>
        <a:prstGeom prst="rightArrow">
          <a:avLst>
            <a:gd name="adj" fmla="val 217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533400</xdr:colOff>
      <xdr:row>13</xdr:row>
      <xdr:rowOff>152400</xdr:rowOff>
    </xdr:from>
    <xdr:to>
      <xdr:col>102</xdr:col>
      <xdr:colOff>238125</xdr:colOff>
      <xdr:row>18</xdr:row>
      <xdr:rowOff>104775</xdr:rowOff>
    </xdr:to>
    <xdr:sp>
      <xdr:nvSpPr>
        <xdr:cNvPr id="15" name="Down Arrow 22"/>
        <xdr:cNvSpPr>
          <a:spLocks/>
        </xdr:cNvSpPr>
      </xdr:nvSpPr>
      <xdr:spPr>
        <a:xfrm>
          <a:off x="89658825" y="2324100"/>
          <a:ext cx="457200" cy="790575"/>
        </a:xfrm>
        <a:prstGeom prst="downArrow">
          <a:avLst>
            <a:gd name="adj" fmla="val 1525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533400</xdr:colOff>
      <xdr:row>39</xdr:row>
      <xdr:rowOff>66675</xdr:rowOff>
    </xdr:from>
    <xdr:to>
      <xdr:col>102</xdr:col>
      <xdr:colOff>238125</xdr:colOff>
      <xdr:row>44</xdr:row>
      <xdr:rowOff>57150</xdr:rowOff>
    </xdr:to>
    <xdr:sp>
      <xdr:nvSpPr>
        <xdr:cNvPr id="16" name="Down Arrow 23"/>
        <xdr:cNvSpPr>
          <a:spLocks/>
        </xdr:cNvSpPr>
      </xdr:nvSpPr>
      <xdr:spPr>
        <a:xfrm>
          <a:off x="89658825" y="6477000"/>
          <a:ext cx="457200" cy="800100"/>
        </a:xfrm>
        <a:prstGeom prst="downArrow">
          <a:avLst>
            <a:gd name="adj" fmla="val 1525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4</xdr:row>
      <xdr:rowOff>95250</xdr:rowOff>
    </xdr:from>
    <xdr:to>
      <xdr:col>22</xdr:col>
      <xdr:colOff>590550</xdr:colOff>
      <xdr:row>6</xdr:row>
      <xdr:rowOff>57150</xdr:rowOff>
    </xdr:to>
    <xdr:sp>
      <xdr:nvSpPr>
        <xdr:cNvPr id="17" name="Right Arrow 24"/>
        <xdr:cNvSpPr>
          <a:spLocks/>
        </xdr:cNvSpPr>
      </xdr:nvSpPr>
      <xdr:spPr>
        <a:xfrm>
          <a:off x="19688175" y="742950"/>
          <a:ext cx="438150" cy="285750"/>
        </a:xfrm>
        <a:prstGeom prst="rightArrow">
          <a:avLst>
            <a:gd name="adj" fmla="val 23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4</xdr:row>
      <xdr:rowOff>95250</xdr:rowOff>
    </xdr:from>
    <xdr:to>
      <xdr:col>27</xdr:col>
      <xdr:colOff>590550</xdr:colOff>
      <xdr:row>6</xdr:row>
      <xdr:rowOff>57150</xdr:rowOff>
    </xdr:to>
    <xdr:sp>
      <xdr:nvSpPr>
        <xdr:cNvPr id="18" name="Right Arrow 26"/>
        <xdr:cNvSpPr>
          <a:spLocks/>
        </xdr:cNvSpPr>
      </xdr:nvSpPr>
      <xdr:spPr>
        <a:xfrm>
          <a:off x="23822025" y="742950"/>
          <a:ext cx="438150" cy="285750"/>
        </a:xfrm>
        <a:prstGeom prst="rightArrow">
          <a:avLst>
            <a:gd name="adj" fmla="val 23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4</xdr:row>
      <xdr:rowOff>95250</xdr:rowOff>
    </xdr:from>
    <xdr:to>
      <xdr:col>32</xdr:col>
      <xdr:colOff>590550</xdr:colOff>
      <xdr:row>6</xdr:row>
      <xdr:rowOff>57150</xdr:rowOff>
    </xdr:to>
    <xdr:sp>
      <xdr:nvSpPr>
        <xdr:cNvPr id="19" name="Right Arrow 27"/>
        <xdr:cNvSpPr>
          <a:spLocks/>
        </xdr:cNvSpPr>
      </xdr:nvSpPr>
      <xdr:spPr>
        <a:xfrm>
          <a:off x="27908250" y="742950"/>
          <a:ext cx="438150" cy="285750"/>
        </a:xfrm>
        <a:prstGeom prst="rightArrow">
          <a:avLst>
            <a:gd name="adj" fmla="val 23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400050</xdr:colOff>
      <xdr:row>14</xdr:row>
      <xdr:rowOff>133350</xdr:rowOff>
    </xdr:from>
    <xdr:to>
      <xdr:col>35</xdr:col>
      <xdr:colOff>685800</xdr:colOff>
      <xdr:row>19</xdr:row>
      <xdr:rowOff>9525</xdr:rowOff>
    </xdr:to>
    <xdr:sp>
      <xdr:nvSpPr>
        <xdr:cNvPr id="20" name="Down Arrow 30"/>
        <xdr:cNvSpPr>
          <a:spLocks/>
        </xdr:cNvSpPr>
      </xdr:nvSpPr>
      <xdr:spPr>
        <a:xfrm>
          <a:off x="30384750" y="2495550"/>
          <a:ext cx="285750" cy="685800"/>
        </a:xfrm>
        <a:prstGeom prst="downArrow">
          <a:avLst>
            <a:gd name="adj" fmla="val 24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428625</xdr:colOff>
      <xdr:row>33</xdr:row>
      <xdr:rowOff>152400</xdr:rowOff>
    </xdr:from>
    <xdr:to>
      <xdr:col>35</xdr:col>
      <xdr:colOff>723900</xdr:colOff>
      <xdr:row>38</xdr:row>
      <xdr:rowOff>28575</xdr:rowOff>
    </xdr:to>
    <xdr:sp>
      <xdr:nvSpPr>
        <xdr:cNvPr id="21" name="Down Arrow 31"/>
        <xdr:cNvSpPr>
          <a:spLocks/>
        </xdr:cNvSpPr>
      </xdr:nvSpPr>
      <xdr:spPr>
        <a:xfrm>
          <a:off x="30413325" y="5591175"/>
          <a:ext cx="295275" cy="685800"/>
        </a:xfrm>
        <a:prstGeom prst="downArrow">
          <a:avLst>
            <a:gd name="adj" fmla="val 24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400050</xdr:colOff>
      <xdr:row>53</xdr:row>
      <xdr:rowOff>133350</xdr:rowOff>
    </xdr:from>
    <xdr:to>
      <xdr:col>35</xdr:col>
      <xdr:colOff>685800</xdr:colOff>
      <xdr:row>58</xdr:row>
      <xdr:rowOff>9525</xdr:rowOff>
    </xdr:to>
    <xdr:sp>
      <xdr:nvSpPr>
        <xdr:cNvPr id="22" name="Down Arrow 32"/>
        <xdr:cNvSpPr>
          <a:spLocks/>
        </xdr:cNvSpPr>
      </xdr:nvSpPr>
      <xdr:spPr>
        <a:xfrm>
          <a:off x="30384750" y="8810625"/>
          <a:ext cx="285750" cy="685800"/>
        </a:xfrm>
        <a:prstGeom prst="downArrow">
          <a:avLst>
            <a:gd name="adj" fmla="val 24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428625</xdr:colOff>
      <xdr:row>72</xdr:row>
      <xdr:rowOff>152400</xdr:rowOff>
    </xdr:from>
    <xdr:to>
      <xdr:col>35</xdr:col>
      <xdr:colOff>723900</xdr:colOff>
      <xdr:row>77</xdr:row>
      <xdr:rowOff>28575</xdr:rowOff>
    </xdr:to>
    <xdr:sp>
      <xdr:nvSpPr>
        <xdr:cNvPr id="23" name="Down Arrow 33"/>
        <xdr:cNvSpPr>
          <a:spLocks/>
        </xdr:cNvSpPr>
      </xdr:nvSpPr>
      <xdr:spPr>
        <a:xfrm>
          <a:off x="30413325" y="11906250"/>
          <a:ext cx="295275" cy="685800"/>
        </a:xfrm>
        <a:prstGeom prst="downArrow">
          <a:avLst>
            <a:gd name="adj" fmla="val 24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307"/>
  <sheetViews>
    <sheetView tabSelected="1" view="pageBreakPreview" zoomScale="60" zoomScalePageLayoutView="0" workbookViewId="0" topLeftCell="A1">
      <selection activeCell="D13" sqref="D13"/>
    </sheetView>
  </sheetViews>
  <sheetFormatPr defaultColWidth="8.8515625" defaultRowHeight="12.75"/>
  <cols>
    <col min="1" max="1" width="25.421875" style="0" customWidth="1"/>
    <col min="2" max="2" width="20.421875" style="0" customWidth="1"/>
    <col min="3" max="3" width="12.140625" style="0" customWidth="1"/>
    <col min="4" max="4" width="11.140625" style="2" customWidth="1"/>
    <col min="5" max="5" width="11.421875" style="2" customWidth="1"/>
    <col min="6" max="6" width="12.140625" style="2" customWidth="1"/>
    <col min="7" max="7" width="15.8515625" style="32" customWidth="1"/>
    <col min="8" max="8" width="10.8515625" style="13" customWidth="1"/>
    <col min="9" max="9" width="13.00390625" style="13" customWidth="1"/>
    <col min="10" max="10" width="12.7109375" style="13" customWidth="1"/>
    <col min="11" max="11" width="13.00390625" style="13" customWidth="1"/>
    <col min="12" max="13" width="12.8515625" style="13" customWidth="1"/>
    <col min="14" max="14" width="11.00390625" style="12" customWidth="1"/>
    <col min="15" max="15" width="11.140625" style="12" customWidth="1"/>
    <col min="16" max="16" width="11.00390625" style="12" customWidth="1"/>
    <col min="17" max="17" width="14.57421875" style="12" customWidth="1"/>
    <col min="18" max="18" width="11.140625" style="2" customWidth="1"/>
    <col min="19" max="19" width="11.140625" style="1" customWidth="1"/>
    <col min="20" max="20" width="11.140625" style="2" customWidth="1"/>
    <col min="21" max="21" width="11.140625" style="1" customWidth="1"/>
    <col min="22" max="22" width="16.8515625" style="1" customWidth="1"/>
    <col min="23" max="26" width="11.140625" style="1" customWidth="1"/>
    <col min="27" max="27" width="17.421875" style="1" customWidth="1"/>
    <col min="28" max="31" width="11.140625" style="1" customWidth="1"/>
    <col min="32" max="32" width="16.7109375" style="1" customWidth="1"/>
    <col min="33" max="36" width="11.140625" style="1" customWidth="1"/>
    <col min="37" max="37" width="19.7109375" style="1" customWidth="1"/>
    <col min="38" max="39" width="11.140625" style="1" customWidth="1"/>
    <col min="40" max="40" width="12.00390625" style="1" customWidth="1"/>
    <col min="41" max="41" width="10.421875" style="0" customWidth="1"/>
    <col min="42" max="42" width="24.28125" style="0" customWidth="1"/>
    <col min="43" max="43" width="20.57421875" style="0" customWidth="1"/>
    <col min="44" max="44" width="14.140625" style="0" customWidth="1"/>
    <col min="45" max="45" width="14.00390625" style="0" customWidth="1"/>
    <col min="46" max="46" width="14.421875" style="17" customWidth="1"/>
    <col min="47" max="47" width="14.8515625" style="17" customWidth="1"/>
    <col min="48" max="48" width="20.00390625" style="0" customWidth="1"/>
    <col min="49" max="49" width="14.140625" style="0" customWidth="1"/>
    <col min="50" max="50" width="16.00390625" style="0" customWidth="1"/>
    <col min="51" max="51" width="11.8515625" style="1" customWidth="1"/>
    <col min="52" max="52" width="15.00390625" style="2" customWidth="1"/>
    <col min="53" max="53" width="11.8515625" style="2" customWidth="1"/>
    <col min="54" max="54" width="11.8515625" style="0" customWidth="1"/>
    <col min="55" max="55" width="14.57421875" style="0" customWidth="1"/>
    <col min="56" max="56" width="11.8515625" style="1" customWidth="1"/>
    <col min="57" max="61" width="11.8515625" style="0" customWidth="1"/>
    <col min="62" max="62" width="19.28125" style="0" customWidth="1"/>
    <col min="63" max="63" width="8.8515625" style="0" customWidth="1"/>
    <col min="64" max="64" width="13.140625" style="0" customWidth="1"/>
    <col min="65" max="65" width="12.421875" style="0" customWidth="1"/>
    <col min="66" max="66" width="8.8515625" style="0" customWidth="1"/>
    <col min="67" max="67" width="10.28125" style="1" customWidth="1"/>
    <col min="68" max="68" width="10.8515625" style="0" customWidth="1"/>
    <col min="69" max="69" width="11.28125" style="0" customWidth="1"/>
    <col min="70" max="70" width="11.28125" style="1" customWidth="1"/>
    <col min="71" max="71" width="10.28125" style="0" customWidth="1"/>
    <col min="72" max="72" width="18.28125" style="0" customWidth="1"/>
    <col min="73" max="74" width="10.421875" style="0" customWidth="1"/>
    <col min="75" max="75" width="11.00390625" style="0" customWidth="1"/>
    <col min="76" max="76" width="10.8515625" style="0" customWidth="1"/>
    <col min="77" max="77" width="14.140625" style="0" customWidth="1"/>
    <col min="78" max="78" width="10.140625" style="0" customWidth="1"/>
    <col min="79" max="79" width="16.28125" style="0" customWidth="1"/>
    <col min="80" max="80" width="10.28125" style="0" customWidth="1"/>
    <col min="81" max="83" width="10.8515625" style="2" customWidth="1"/>
    <col min="84" max="84" width="21.57421875" style="2" customWidth="1"/>
    <col min="85" max="85" width="22.8515625" style="0" customWidth="1"/>
    <col min="86" max="86" width="8.8515625" style="0" customWidth="1"/>
    <col min="87" max="87" width="11.140625" style="0" customWidth="1"/>
    <col min="88" max="88" width="13.8515625" style="0" customWidth="1"/>
    <col min="89" max="89" width="14.00390625" style="0" customWidth="1"/>
    <col min="90" max="90" width="12.140625" style="0" customWidth="1"/>
    <col min="91" max="91" width="21.57421875" style="0" customWidth="1"/>
    <col min="92" max="92" width="13.8515625" style="0" customWidth="1"/>
    <col min="93" max="93" width="13.7109375" style="0" customWidth="1"/>
    <col min="94" max="94" width="12.00390625" style="0" customWidth="1"/>
    <col min="95" max="95" width="16.140625" style="0" customWidth="1"/>
    <col min="96" max="96" width="13.00390625" style="0" customWidth="1"/>
    <col min="97" max="97" width="16.7109375" style="0" customWidth="1"/>
    <col min="98" max="98" width="16.421875" style="0" customWidth="1"/>
    <col min="99" max="99" width="12.28125" style="0" customWidth="1"/>
    <col min="100" max="100" width="11.28125" style="0" customWidth="1"/>
    <col min="101" max="101" width="10.28125" style="0" customWidth="1"/>
    <col min="102" max="102" width="11.28125" style="0" customWidth="1"/>
    <col min="103" max="103" width="11.00390625" style="0" customWidth="1"/>
    <col min="104" max="104" width="11.421875" style="0" customWidth="1"/>
    <col min="105" max="105" width="10.8515625" style="0" customWidth="1"/>
    <col min="106" max="106" width="8.8515625" style="0" customWidth="1"/>
    <col min="107" max="107" width="19.8515625" style="0" customWidth="1"/>
    <col min="108" max="111" width="8.8515625" style="0" customWidth="1"/>
    <col min="112" max="112" width="21.7109375" style="0" customWidth="1"/>
    <col min="113" max="113" width="12.7109375" style="0" customWidth="1"/>
    <col min="114" max="114" width="13.00390625" style="0" customWidth="1"/>
    <col min="115" max="115" width="11.140625" style="0" customWidth="1"/>
    <col min="116" max="117" width="10.8515625" style="0" customWidth="1"/>
  </cols>
  <sheetData>
    <row r="1" spans="14:107" ht="12.75">
      <c r="N1" s="225" t="s">
        <v>408</v>
      </c>
      <c r="O1" s="189"/>
      <c r="P1" s="189"/>
      <c r="Q1" s="190"/>
      <c r="S1" s="225" t="s">
        <v>418</v>
      </c>
      <c r="T1" s="189"/>
      <c r="U1" s="189"/>
      <c r="V1" s="190"/>
      <c r="X1" s="225" t="s">
        <v>431</v>
      </c>
      <c r="Y1" s="189"/>
      <c r="Z1" s="189"/>
      <c r="AA1" s="197"/>
      <c r="AH1" s="225" t="s">
        <v>453</v>
      </c>
      <c r="AI1" s="189"/>
      <c r="AJ1" s="189"/>
      <c r="AK1" s="197"/>
      <c r="AN1" s="225" t="s">
        <v>490</v>
      </c>
      <c r="AO1" s="189"/>
      <c r="AP1" s="189"/>
      <c r="AQ1" s="190"/>
      <c r="AS1" s="225" t="s">
        <v>498</v>
      </c>
      <c r="AT1" s="189"/>
      <c r="AU1" s="189"/>
      <c r="AV1" s="190"/>
      <c r="AX1" s="225" t="s">
        <v>515</v>
      </c>
      <c r="AY1" s="189"/>
      <c r="AZ1" s="189"/>
      <c r="BA1" s="232"/>
      <c r="BB1" s="200"/>
      <c r="BC1" s="184"/>
      <c r="BE1" s="225" t="s">
        <v>516</v>
      </c>
      <c r="BF1" s="189"/>
      <c r="BG1" s="189"/>
      <c r="BH1" s="232"/>
      <c r="BI1" s="200"/>
      <c r="BJ1" s="184"/>
      <c r="BL1" s="225" t="s">
        <v>530</v>
      </c>
      <c r="BM1" s="197"/>
      <c r="BO1" s="225" t="s">
        <v>539</v>
      </c>
      <c r="BP1" s="189"/>
      <c r="BQ1" s="189"/>
      <c r="BR1" s="232"/>
      <c r="BS1" s="200"/>
      <c r="BT1" s="184"/>
      <c r="BV1" s="225" t="s">
        <v>543</v>
      </c>
      <c r="BW1" s="189"/>
      <c r="BX1" s="189"/>
      <c r="BY1" s="190"/>
      <c r="BZ1" s="94"/>
      <c r="CA1" s="225" t="s">
        <v>544</v>
      </c>
      <c r="CB1" s="189"/>
      <c r="CC1" s="189"/>
      <c r="CD1" s="232"/>
      <c r="CE1" s="200"/>
      <c r="CF1" s="184"/>
      <c r="CH1" s="225" t="s">
        <v>580</v>
      </c>
      <c r="CI1" s="189"/>
      <c r="CJ1" s="189"/>
      <c r="CK1" s="232"/>
      <c r="CL1" s="200"/>
      <c r="CM1" s="184"/>
      <c r="CO1" s="287"/>
      <c r="CP1" s="259"/>
      <c r="CQ1" s="259"/>
      <c r="CR1" s="33"/>
      <c r="CS1" s="94"/>
      <c r="CT1" s="94"/>
      <c r="CV1" s="225" t="s">
        <v>590</v>
      </c>
      <c r="CW1" s="189"/>
      <c r="CX1" s="189"/>
      <c r="CY1" s="232"/>
      <c r="CZ1" s="200"/>
      <c r="DA1" s="200"/>
      <c r="DB1" s="200"/>
      <c r="DC1" s="184"/>
    </row>
    <row r="2" spans="4:107" ht="12.75">
      <c r="D2" s="225" t="s">
        <v>394</v>
      </c>
      <c r="E2" s="189"/>
      <c r="F2" s="189"/>
      <c r="G2" s="190"/>
      <c r="N2" s="195" t="s">
        <v>409</v>
      </c>
      <c r="O2" s="191"/>
      <c r="P2" s="191"/>
      <c r="Q2" s="192"/>
      <c r="S2" s="195" t="s">
        <v>419</v>
      </c>
      <c r="T2" s="191"/>
      <c r="U2" s="191"/>
      <c r="V2" s="192"/>
      <c r="X2" s="195" t="s">
        <v>432</v>
      </c>
      <c r="Y2" s="191"/>
      <c r="Z2" s="191"/>
      <c r="AA2" s="198"/>
      <c r="AH2" s="195" t="s">
        <v>454</v>
      </c>
      <c r="AI2" s="191"/>
      <c r="AJ2" s="191"/>
      <c r="AK2" s="198"/>
      <c r="AN2" s="195" t="s">
        <v>491</v>
      </c>
      <c r="AO2" s="191"/>
      <c r="AP2" s="191"/>
      <c r="AQ2" s="192"/>
      <c r="AS2" s="195" t="s">
        <v>657</v>
      </c>
      <c r="AT2" s="191"/>
      <c r="AU2" s="191"/>
      <c r="AV2" s="192"/>
      <c r="AX2" s="195" t="s">
        <v>658</v>
      </c>
      <c r="AY2" s="191"/>
      <c r="AZ2" s="191"/>
      <c r="BA2" s="233"/>
      <c r="BB2" s="201"/>
      <c r="BC2" s="186"/>
      <c r="BE2" s="195" t="s">
        <v>660</v>
      </c>
      <c r="BF2" s="191"/>
      <c r="BG2" s="191"/>
      <c r="BH2" s="233"/>
      <c r="BI2" s="201"/>
      <c r="BJ2" s="186"/>
      <c r="BL2" s="195" t="s">
        <v>663</v>
      </c>
      <c r="BM2" s="198"/>
      <c r="BO2" s="195" t="s">
        <v>540</v>
      </c>
      <c r="BP2" s="191"/>
      <c r="BQ2" s="191"/>
      <c r="BR2" s="233"/>
      <c r="BS2" s="201"/>
      <c r="BT2" s="186"/>
      <c r="BV2" s="195" t="s">
        <v>665</v>
      </c>
      <c r="BW2" s="191"/>
      <c r="BX2" s="191"/>
      <c r="BY2" s="192"/>
      <c r="BZ2" s="94"/>
      <c r="CA2" s="195" t="s">
        <v>552</v>
      </c>
      <c r="CB2" s="191"/>
      <c r="CC2" s="191"/>
      <c r="CD2" s="233"/>
      <c r="CE2" s="201"/>
      <c r="CF2" s="186"/>
      <c r="CH2" s="195" t="s">
        <v>581</v>
      </c>
      <c r="CI2" s="191"/>
      <c r="CJ2" s="191"/>
      <c r="CK2" s="233"/>
      <c r="CL2" s="201"/>
      <c r="CM2" s="186"/>
      <c r="CO2" s="283"/>
      <c r="CP2" s="259"/>
      <c r="CQ2" s="259"/>
      <c r="CR2" s="33"/>
      <c r="CS2" s="94"/>
      <c r="CT2" s="94"/>
      <c r="CV2" s="195" t="s">
        <v>591</v>
      </c>
      <c r="CW2" s="191"/>
      <c r="CX2" s="191"/>
      <c r="CY2" s="233"/>
      <c r="CZ2" s="201"/>
      <c r="DA2" s="201"/>
      <c r="DB2" s="201"/>
      <c r="DC2" s="186"/>
    </row>
    <row r="3" spans="1:118" ht="12.75">
      <c r="A3" s="223" t="s">
        <v>389</v>
      </c>
      <c r="B3" s="184"/>
      <c r="D3" s="195" t="s">
        <v>395</v>
      </c>
      <c r="E3" s="191"/>
      <c r="F3" s="191"/>
      <c r="G3" s="192"/>
      <c r="I3" s="223" t="s">
        <v>402</v>
      </c>
      <c r="J3" s="200"/>
      <c r="K3" s="189"/>
      <c r="L3" s="197"/>
      <c r="N3" s="195" t="s">
        <v>410</v>
      </c>
      <c r="O3" s="191"/>
      <c r="P3" s="191"/>
      <c r="Q3" s="192"/>
      <c r="S3" s="195" t="s">
        <v>420</v>
      </c>
      <c r="T3" s="191"/>
      <c r="U3" s="191"/>
      <c r="V3" s="192"/>
      <c r="X3" s="195" t="s">
        <v>433</v>
      </c>
      <c r="Y3" s="191"/>
      <c r="Z3" s="191"/>
      <c r="AA3" s="198"/>
      <c r="AC3" s="225" t="s">
        <v>444</v>
      </c>
      <c r="AD3" s="189"/>
      <c r="AE3" s="189"/>
      <c r="AF3" s="197"/>
      <c r="AH3" s="195" t="s">
        <v>455</v>
      </c>
      <c r="AI3" s="191"/>
      <c r="AJ3" s="191"/>
      <c r="AK3" s="198"/>
      <c r="AN3" s="195" t="s">
        <v>655</v>
      </c>
      <c r="AO3" s="191"/>
      <c r="AP3" s="191"/>
      <c r="AQ3" s="192"/>
      <c r="AS3" s="195" t="s">
        <v>507</v>
      </c>
      <c r="AT3" s="191"/>
      <c r="AU3" s="191"/>
      <c r="AV3" s="192"/>
      <c r="AX3" s="195" t="s">
        <v>517</v>
      </c>
      <c r="AY3" s="191"/>
      <c r="AZ3" s="191"/>
      <c r="BA3" s="233"/>
      <c r="BB3" s="201"/>
      <c r="BC3" s="186"/>
      <c r="BE3" s="195" t="s">
        <v>524</v>
      </c>
      <c r="BF3" s="191"/>
      <c r="BG3" s="191"/>
      <c r="BH3" s="233"/>
      <c r="BI3" s="201"/>
      <c r="BJ3" s="186"/>
      <c r="BL3" s="195" t="s">
        <v>531</v>
      </c>
      <c r="BM3" s="198"/>
      <c r="BO3" s="195" t="s">
        <v>619</v>
      </c>
      <c r="BP3" s="191"/>
      <c r="BQ3" s="191"/>
      <c r="BR3" s="233"/>
      <c r="BS3" s="201"/>
      <c r="BT3" s="186"/>
      <c r="BV3" s="195" t="s">
        <v>551</v>
      </c>
      <c r="BW3" s="191"/>
      <c r="BX3" s="191"/>
      <c r="BY3" s="192"/>
      <c r="BZ3" s="94"/>
      <c r="CA3" s="195" t="s">
        <v>553</v>
      </c>
      <c r="CB3" s="191"/>
      <c r="CC3" s="191"/>
      <c r="CD3" s="233"/>
      <c r="CE3" s="201"/>
      <c r="CF3" s="186"/>
      <c r="CH3" s="195" t="s">
        <v>680</v>
      </c>
      <c r="CI3" s="191"/>
      <c r="CJ3" s="191"/>
      <c r="CK3" s="233"/>
      <c r="CL3" s="201"/>
      <c r="CM3" s="186"/>
      <c r="CO3" s="288"/>
      <c r="CP3" s="289"/>
      <c r="CQ3" s="289"/>
      <c r="CR3" s="290"/>
      <c r="CS3" s="291"/>
      <c r="CT3" s="291"/>
      <c r="CV3" s="195" t="s">
        <v>592</v>
      </c>
      <c r="CW3" s="191"/>
      <c r="CX3" s="191"/>
      <c r="CY3" s="233"/>
      <c r="CZ3" s="201"/>
      <c r="DA3" s="201"/>
      <c r="DB3" s="201"/>
      <c r="DC3" s="186"/>
      <c r="DM3" s="262"/>
      <c r="DN3" s="262"/>
    </row>
    <row r="4" spans="1:107" ht="12.75">
      <c r="A4" s="185" t="s">
        <v>390</v>
      </c>
      <c r="B4" s="186"/>
      <c r="D4" s="195" t="s">
        <v>396</v>
      </c>
      <c r="E4" s="191"/>
      <c r="F4" s="191"/>
      <c r="G4" s="192"/>
      <c r="I4" s="185" t="s">
        <v>403</v>
      </c>
      <c r="J4" s="201"/>
      <c r="K4" s="191"/>
      <c r="L4" s="198"/>
      <c r="N4" s="195" t="s">
        <v>411</v>
      </c>
      <c r="O4" s="191"/>
      <c r="P4" s="191"/>
      <c r="Q4" s="192"/>
      <c r="S4" s="195" t="s">
        <v>421</v>
      </c>
      <c r="T4" s="191"/>
      <c r="U4" s="191"/>
      <c r="V4" s="192"/>
      <c r="X4" s="195" t="s">
        <v>434</v>
      </c>
      <c r="Y4" s="191"/>
      <c r="Z4" s="191"/>
      <c r="AA4" s="198"/>
      <c r="AC4" s="195" t="s">
        <v>445</v>
      </c>
      <c r="AD4" s="191"/>
      <c r="AE4" s="191"/>
      <c r="AF4" s="198"/>
      <c r="AH4" s="195" t="s">
        <v>456</v>
      </c>
      <c r="AI4" s="191"/>
      <c r="AJ4" s="191"/>
      <c r="AK4" s="198"/>
      <c r="AN4" s="195" t="s">
        <v>492</v>
      </c>
      <c r="AO4" s="191"/>
      <c r="AP4" s="191"/>
      <c r="AQ4" s="192"/>
      <c r="AS4" s="195" t="s">
        <v>508</v>
      </c>
      <c r="AT4" s="191"/>
      <c r="AU4" s="191"/>
      <c r="AV4" s="192"/>
      <c r="AX4" s="195" t="s">
        <v>659</v>
      </c>
      <c r="AY4" s="191"/>
      <c r="AZ4" s="191"/>
      <c r="BA4" s="233"/>
      <c r="BB4" s="201"/>
      <c r="BC4" s="186"/>
      <c r="BE4" s="195" t="s">
        <v>525</v>
      </c>
      <c r="BF4" s="191"/>
      <c r="BG4" s="191"/>
      <c r="BH4" s="233"/>
      <c r="BI4" s="201"/>
      <c r="BJ4" s="186"/>
      <c r="BL4" s="195" t="s">
        <v>532</v>
      </c>
      <c r="BM4" s="198"/>
      <c r="BO4" s="195" t="s">
        <v>620</v>
      </c>
      <c r="BP4" s="191"/>
      <c r="BQ4" s="191"/>
      <c r="BR4" s="233"/>
      <c r="BS4" s="201"/>
      <c r="BT4" s="186"/>
      <c r="BV4" s="195" t="s">
        <v>545</v>
      </c>
      <c r="BW4" s="191"/>
      <c r="BX4" s="191"/>
      <c r="BY4" s="192"/>
      <c r="BZ4" s="94"/>
      <c r="CA4" s="195" t="s">
        <v>667</v>
      </c>
      <c r="CB4" s="191"/>
      <c r="CC4" s="191"/>
      <c r="CD4" s="233"/>
      <c r="CE4" s="201"/>
      <c r="CF4" s="186"/>
      <c r="CH4" s="195" t="s">
        <v>582</v>
      </c>
      <c r="CI4" s="191"/>
      <c r="CJ4" s="191"/>
      <c r="CK4" s="233"/>
      <c r="CL4" s="201"/>
      <c r="CM4" s="186"/>
      <c r="CO4" s="225" t="s">
        <v>589</v>
      </c>
      <c r="CP4" s="189"/>
      <c r="CQ4" s="189"/>
      <c r="CR4" s="232"/>
      <c r="CS4" s="200"/>
      <c r="CT4" s="184"/>
      <c r="CV4" s="195" t="s">
        <v>593</v>
      </c>
      <c r="CW4" s="191"/>
      <c r="CX4" s="191"/>
      <c r="CY4" s="233"/>
      <c r="CZ4" s="201"/>
      <c r="DA4" s="186"/>
      <c r="DB4" s="201"/>
      <c r="DC4" s="186"/>
    </row>
    <row r="5" spans="1:107" ht="12.75">
      <c r="A5" s="185" t="s">
        <v>391</v>
      </c>
      <c r="B5" s="186"/>
      <c r="D5" s="195" t="s">
        <v>397</v>
      </c>
      <c r="E5" s="191"/>
      <c r="F5" s="191"/>
      <c r="G5" s="192"/>
      <c r="I5" s="185" t="s">
        <v>404</v>
      </c>
      <c r="J5" s="201"/>
      <c r="K5" s="191"/>
      <c r="L5" s="198"/>
      <c r="N5" s="195" t="s">
        <v>412</v>
      </c>
      <c r="O5" s="191"/>
      <c r="P5" s="191"/>
      <c r="Q5" s="192"/>
      <c r="S5" s="195" t="s">
        <v>422</v>
      </c>
      <c r="T5" s="191"/>
      <c r="U5" s="191"/>
      <c r="V5" s="192"/>
      <c r="X5" s="195" t="s">
        <v>435</v>
      </c>
      <c r="Y5" s="191"/>
      <c r="Z5" s="191"/>
      <c r="AA5" s="198"/>
      <c r="AC5" s="195" t="s">
        <v>446</v>
      </c>
      <c r="AD5" s="191"/>
      <c r="AE5" s="191"/>
      <c r="AF5" s="198"/>
      <c r="AH5" s="195" t="s">
        <v>457</v>
      </c>
      <c r="AI5" s="191"/>
      <c r="AJ5" s="191"/>
      <c r="AK5" s="198"/>
      <c r="AN5" s="195" t="s">
        <v>493</v>
      </c>
      <c r="AO5" s="191"/>
      <c r="AP5" s="191"/>
      <c r="AQ5" s="192"/>
      <c r="AS5" s="195" t="s">
        <v>509</v>
      </c>
      <c r="AT5" s="191"/>
      <c r="AU5" s="191"/>
      <c r="AV5" s="192"/>
      <c r="AX5" s="195" t="s">
        <v>518</v>
      </c>
      <c r="AY5" s="191"/>
      <c r="AZ5" s="191"/>
      <c r="BA5" s="233"/>
      <c r="BB5" s="201"/>
      <c r="BC5" s="186"/>
      <c r="BE5" s="195" t="s">
        <v>526</v>
      </c>
      <c r="BF5" s="191"/>
      <c r="BG5" s="191"/>
      <c r="BH5" s="233"/>
      <c r="BI5" s="201"/>
      <c r="BJ5" s="186"/>
      <c r="BL5" s="195" t="s">
        <v>533</v>
      </c>
      <c r="BM5" s="198"/>
      <c r="BO5" s="195" t="s">
        <v>621</v>
      </c>
      <c r="BP5" s="191"/>
      <c r="BQ5" s="191"/>
      <c r="BR5" s="233"/>
      <c r="BS5" s="201"/>
      <c r="BT5" s="186"/>
      <c r="BV5" s="195" t="s">
        <v>546</v>
      </c>
      <c r="BW5" s="191"/>
      <c r="BX5" s="191"/>
      <c r="BY5" s="192"/>
      <c r="BZ5" s="94"/>
      <c r="CA5" s="195" t="s">
        <v>554</v>
      </c>
      <c r="CB5" s="191"/>
      <c r="CC5" s="191"/>
      <c r="CD5" s="233"/>
      <c r="CE5" s="201"/>
      <c r="CF5" s="186"/>
      <c r="CH5" s="195" t="s">
        <v>583</v>
      </c>
      <c r="CI5" s="191"/>
      <c r="CJ5" s="191"/>
      <c r="CK5" s="233"/>
      <c r="CL5" s="201"/>
      <c r="CM5" s="186"/>
      <c r="CO5" s="195" t="s">
        <v>684</v>
      </c>
      <c r="CP5" s="191"/>
      <c r="CQ5" s="191"/>
      <c r="CR5" s="233"/>
      <c r="CS5" s="201"/>
      <c r="CT5" s="186"/>
      <c r="CV5" s="195" t="s">
        <v>594</v>
      </c>
      <c r="CW5" s="191"/>
      <c r="CX5" s="191"/>
      <c r="CY5" s="233"/>
      <c r="CZ5" s="201"/>
      <c r="DA5" s="186"/>
      <c r="DB5" s="201"/>
      <c r="DC5" s="186"/>
    </row>
    <row r="6" spans="1:107" ht="12.75">
      <c r="A6" s="185" t="s">
        <v>392</v>
      </c>
      <c r="B6" s="186"/>
      <c r="D6" s="195" t="s">
        <v>398</v>
      </c>
      <c r="E6" s="191"/>
      <c r="F6" s="191"/>
      <c r="G6" s="192"/>
      <c r="I6" s="185" t="s">
        <v>405</v>
      </c>
      <c r="J6" s="201"/>
      <c r="K6" s="191"/>
      <c r="L6" s="198"/>
      <c r="N6" s="195" t="s">
        <v>413</v>
      </c>
      <c r="O6" s="191"/>
      <c r="P6" s="191"/>
      <c r="Q6" s="192"/>
      <c r="S6" s="195" t="s">
        <v>423</v>
      </c>
      <c r="T6" s="191"/>
      <c r="U6" s="191"/>
      <c r="V6" s="192"/>
      <c r="X6" s="195" t="s">
        <v>436</v>
      </c>
      <c r="Y6" s="191"/>
      <c r="Z6" s="191"/>
      <c r="AA6" s="198"/>
      <c r="AC6" s="195" t="s">
        <v>447</v>
      </c>
      <c r="AD6" s="191"/>
      <c r="AE6" s="191"/>
      <c r="AF6" s="198"/>
      <c r="AH6" s="195" t="s">
        <v>458</v>
      </c>
      <c r="AI6" s="191"/>
      <c r="AJ6" s="191"/>
      <c r="AK6" s="198"/>
      <c r="AN6" s="195" t="s">
        <v>494</v>
      </c>
      <c r="AO6" s="191"/>
      <c r="AP6" s="191"/>
      <c r="AQ6" s="192"/>
      <c r="AS6" s="195" t="s">
        <v>510</v>
      </c>
      <c r="AT6" s="191"/>
      <c r="AU6" s="191"/>
      <c r="AV6" s="192"/>
      <c r="AX6" s="195" t="s">
        <v>519</v>
      </c>
      <c r="AY6" s="191"/>
      <c r="AZ6" s="191"/>
      <c r="BA6" s="233"/>
      <c r="BB6" s="201"/>
      <c r="BC6" s="186"/>
      <c r="BE6" s="195" t="s">
        <v>527</v>
      </c>
      <c r="BF6" s="191"/>
      <c r="BG6" s="191"/>
      <c r="BH6" s="233"/>
      <c r="BI6" s="201"/>
      <c r="BJ6" s="186"/>
      <c r="BL6" s="195" t="s">
        <v>534</v>
      </c>
      <c r="BM6" s="198"/>
      <c r="BO6" s="195" t="s">
        <v>622</v>
      </c>
      <c r="BP6" s="191"/>
      <c r="BQ6" s="191"/>
      <c r="BR6" s="233"/>
      <c r="BS6" s="201"/>
      <c r="BT6" s="186"/>
      <c r="BV6" s="195" t="s">
        <v>547</v>
      </c>
      <c r="BW6" s="191"/>
      <c r="BX6" s="191"/>
      <c r="BY6" s="192"/>
      <c r="BZ6" s="94"/>
      <c r="CA6" s="195" t="s">
        <v>555</v>
      </c>
      <c r="CB6" s="191"/>
      <c r="CC6" s="191"/>
      <c r="CD6" s="233"/>
      <c r="CE6" s="201"/>
      <c r="CF6" s="186"/>
      <c r="CH6" s="195" t="s">
        <v>584</v>
      </c>
      <c r="CI6" s="191"/>
      <c r="CJ6" s="191"/>
      <c r="CK6" s="233"/>
      <c r="CL6" s="201"/>
      <c r="CM6" s="186"/>
      <c r="CO6" s="195" t="s">
        <v>685</v>
      </c>
      <c r="CP6" s="191"/>
      <c r="CQ6" s="191"/>
      <c r="CR6" s="233"/>
      <c r="CS6" s="201"/>
      <c r="CT6" s="186"/>
      <c r="CV6" s="209" t="s">
        <v>595</v>
      </c>
      <c r="CW6" s="205"/>
      <c r="CX6" s="205"/>
      <c r="CY6" s="205"/>
      <c r="CZ6" s="201"/>
      <c r="DA6" s="186"/>
      <c r="DB6" s="201"/>
      <c r="DC6" s="186"/>
    </row>
    <row r="7" spans="1:107" ht="12.75">
      <c r="A7" s="185" t="s">
        <v>393</v>
      </c>
      <c r="B7" s="186"/>
      <c r="D7" s="195" t="s">
        <v>399</v>
      </c>
      <c r="E7" s="191"/>
      <c r="F7" s="191"/>
      <c r="G7" s="192"/>
      <c r="I7" s="185" t="s">
        <v>406</v>
      </c>
      <c r="J7" s="201"/>
      <c r="K7" s="191"/>
      <c r="L7" s="198"/>
      <c r="N7" s="195" t="s">
        <v>414</v>
      </c>
      <c r="O7" s="191"/>
      <c r="P7" s="191"/>
      <c r="Q7" s="192"/>
      <c r="S7" s="195" t="s">
        <v>424</v>
      </c>
      <c r="T7" s="191"/>
      <c r="U7" s="191"/>
      <c r="V7" s="192"/>
      <c r="X7" s="195" t="s">
        <v>441</v>
      </c>
      <c r="Y7" s="191"/>
      <c r="Z7" s="191"/>
      <c r="AA7" s="198"/>
      <c r="AC7" s="195" t="s">
        <v>448</v>
      </c>
      <c r="AD7" s="191"/>
      <c r="AE7" s="191"/>
      <c r="AF7" s="198"/>
      <c r="AH7" s="195" t="s">
        <v>459</v>
      </c>
      <c r="AI7" s="191"/>
      <c r="AJ7" s="191"/>
      <c r="AK7" s="198"/>
      <c r="AN7" s="195" t="s">
        <v>495</v>
      </c>
      <c r="AO7" s="191"/>
      <c r="AP7" s="191"/>
      <c r="AQ7" s="192"/>
      <c r="AS7" s="195" t="s">
        <v>511</v>
      </c>
      <c r="AT7" s="191"/>
      <c r="AU7" s="191"/>
      <c r="AV7" s="192"/>
      <c r="AX7" s="195" t="s">
        <v>520</v>
      </c>
      <c r="AY7" s="191"/>
      <c r="AZ7" s="191"/>
      <c r="BA7" s="233"/>
      <c r="BB7" s="201"/>
      <c r="BC7" s="186"/>
      <c r="BE7" s="195" t="s">
        <v>661</v>
      </c>
      <c r="BF7" s="191"/>
      <c r="BG7" s="191"/>
      <c r="BH7" s="233"/>
      <c r="BI7" s="201"/>
      <c r="BJ7" s="186"/>
      <c r="BL7" s="195" t="s">
        <v>535</v>
      </c>
      <c r="BM7" s="198"/>
      <c r="BO7" s="195" t="s">
        <v>623</v>
      </c>
      <c r="BP7" s="191"/>
      <c r="BQ7" s="191"/>
      <c r="BR7" s="233"/>
      <c r="BS7" s="201"/>
      <c r="BT7" s="186"/>
      <c r="BV7" s="195" t="s">
        <v>666</v>
      </c>
      <c r="BW7" s="191"/>
      <c r="BX7" s="191"/>
      <c r="BY7" s="192"/>
      <c r="BZ7" s="94"/>
      <c r="CA7" s="195" t="s">
        <v>668</v>
      </c>
      <c r="CB7" s="191"/>
      <c r="CC7" s="191"/>
      <c r="CD7" s="233"/>
      <c r="CE7" s="201"/>
      <c r="CF7" s="186"/>
      <c r="CH7" s="195" t="s">
        <v>585</v>
      </c>
      <c r="CI7" s="191"/>
      <c r="CJ7" s="191"/>
      <c r="CK7" s="233"/>
      <c r="CL7" s="201"/>
      <c r="CM7" s="186"/>
      <c r="CO7" s="195" t="s">
        <v>686</v>
      </c>
      <c r="CP7" s="191"/>
      <c r="CQ7" s="191"/>
      <c r="CR7" s="233"/>
      <c r="CS7" s="201"/>
      <c r="CT7" s="186"/>
      <c r="CV7" s="195" t="s">
        <v>689</v>
      </c>
      <c r="CW7" s="191"/>
      <c r="CX7" s="191"/>
      <c r="CY7" s="233"/>
      <c r="CZ7" s="201"/>
      <c r="DA7" s="201"/>
      <c r="DB7" s="201"/>
      <c r="DC7" s="186"/>
    </row>
    <row r="8" spans="1:107" ht="12.75">
      <c r="A8" s="187"/>
      <c r="B8" s="188"/>
      <c r="D8" s="195" t="s">
        <v>400</v>
      </c>
      <c r="E8" s="191"/>
      <c r="F8" s="191"/>
      <c r="G8" s="192"/>
      <c r="I8" s="203" t="s">
        <v>407</v>
      </c>
      <c r="J8" s="202"/>
      <c r="K8" s="193"/>
      <c r="L8" s="199"/>
      <c r="N8" s="195" t="s">
        <v>415</v>
      </c>
      <c r="O8" s="191"/>
      <c r="P8" s="191"/>
      <c r="Q8" s="192"/>
      <c r="S8" s="195" t="s">
        <v>425</v>
      </c>
      <c r="T8" s="191"/>
      <c r="U8" s="191"/>
      <c r="V8" s="192"/>
      <c r="X8" s="195" t="s">
        <v>442</v>
      </c>
      <c r="Y8" s="191"/>
      <c r="Z8" s="191"/>
      <c r="AA8" s="198"/>
      <c r="AC8" s="195" t="s">
        <v>449</v>
      </c>
      <c r="AD8" s="191"/>
      <c r="AE8" s="191"/>
      <c r="AF8" s="198"/>
      <c r="AH8" s="195" t="s">
        <v>460</v>
      </c>
      <c r="AI8" s="191"/>
      <c r="AJ8" s="191"/>
      <c r="AK8" s="198"/>
      <c r="AN8" s="195" t="s">
        <v>496</v>
      </c>
      <c r="AO8" s="191"/>
      <c r="AP8" s="191"/>
      <c r="AQ8" s="192"/>
      <c r="AS8" s="195" t="s">
        <v>512</v>
      </c>
      <c r="AT8" s="191"/>
      <c r="AU8" s="191"/>
      <c r="AV8" s="192"/>
      <c r="AX8" s="195" t="s">
        <v>521</v>
      </c>
      <c r="AY8" s="191"/>
      <c r="AZ8" s="191"/>
      <c r="BA8" s="233"/>
      <c r="BB8" s="201"/>
      <c r="BC8" s="186"/>
      <c r="BE8" s="195" t="s">
        <v>528</v>
      </c>
      <c r="BF8" s="191"/>
      <c r="BG8" s="191"/>
      <c r="BH8" s="233"/>
      <c r="BI8" s="201"/>
      <c r="BJ8" s="186"/>
      <c r="BL8" s="195" t="s">
        <v>536</v>
      </c>
      <c r="BM8" s="198"/>
      <c r="BO8" s="195" t="s">
        <v>624</v>
      </c>
      <c r="BP8" s="191"/>
      <c r="BQ8" s="191"/>
      <c r="BR8" s="233"/>
      <c r="BS8" s="201"/>
      <c r="BT8" s="186"/>
      <c r="BV8" s="195" t="s">
        <v>548</v>
      </c>
      <c r="BW8" s="191"/>
      <c r="BX8" s="191"/>
      <c r="BY8" s="192"/>
      <c r="BZ8" s="94"/>
      <c r="CA8" s="195" t="s">
        <v>556</v>
      </c>
      <c r="CB8" s="191"/>
      <c r="CC8" s="191"/>
      <c r="CD8" s="233"/>
      <c r="CE8" s="201"/>
      <c r="CF8" s="186"/>
      <c r="CH8" s="195" t="s">
        <v>681</v>
      </c>
      <c r="CI8" s="191"/>
      <c r="CJ8" s="191"/>
      <c r="CK8" s="233"/>
      <c r="CL8" s="201"/>
      <c r="CM8" s="186"/>
      <c r="CO8" s="195" t="s">
        <v>687</v>
      </c>
      <c r="CP8" s="191"/>
      <c r="CQ8" s="191"/>
      <c r="CR8" s="233"/>
      <c r="CS8" s="201"/>
      <c r="CT8" s="186"/>
      <c r="CV8" s="195" t="s">
        <v>596</v>
      </c>
      <c r="CW8" s="191"/>
      <c r="CX8" s="191"/>
      <c r="CY8" s="233"/>
      <c r="CZ8" s="201"/>
      <c r="DA8" s="201"/>
      <c r="DB8" s="201"/>
      <c r="DC8" s="186"/>
    </row>
    <row r="9" spans="4:107" ht="12.75">
      <c r="D9" s="196" t="s">
        <v>401</v>
      </c>
      <c r="E9" s="193"/>
      <c r="F9" s="193"/>
      <c r="G9" s="194"/>
      <c r="N9" s="209" t="s">
        <v>416</v>
      </c>
      <c r="O9" s="205"/>
      <c r="P9" s="205"/>
      <c r="Q9" s="206"/>
      <c r="S9" s="209" t="s">
        <v>426</v>
      </c>
      <c r="T9" s="205"/>
      <c r="U9" s="205"/>
      <c r="V9" s="206"/>
      <c r="X9" s="209" t="s">
        <v>437</v>
      </c>
      <c r="Y9" s="205"/>
      <c r="Z9" s="205"/>
      <c r="AA9" s="206"/>
      <c r="AC9" s="195" t="s">
        <v>450</v>
      </c>
      <c r="AD9" s="191"/>
      <c r="AE9" s="191"/>
      <c r="AF9" s="198"/>
      <c r="AH9" s="209" t="s">
        <v>461</v>
      </c>
      <c r="AI9" s="205"/>
      <c r="AJ9" s="205"/>
      <c r="AK9" s="206"/>
      <c r="AN9" s="209" t="s">
        <v>656</v>
      </c>
      <c r="AO9" s="205"/>
      <c r="AP9" s="205"/>
      <c r="AQ9" s="206"/>
      <c r="AS9" s="209" t="s">
        <v>513</v>
      </c>
      <c r="AT9" s="205"/>
      <c r="AU9" s="205"/>
      <c r="AV9" s="206"/>
      <c r="AX9" s="209" t="s">
        <v>522</v>
      </c>
      <c r="AY9" s="205"/>
      <c r="AZ9" s="205"/>
      <c r="BA9" s="205"/>
      <c r="BB9" s="201"/>
      <c r="BC9" s="186"/>
      <c r="BE9" s="209" t="s">
        <v>662</v>
      </c>
      <c r="BF9" s="205"/>
      <c r="BG9" s="205"/>
      <c r="BH9" s="205"/>
      <c r="BI9" s="201"/>
      <c r="BJ9" s="186"/>
      <c r="BL9" s="209" t="s">
        <v>537</v>
      </c>
      <c r="BM9" s="206"/>
      <c r="BO9" s="209" t="s">
        <v>625</v>
      </c>
      <c r="BP9" s="205"/>
      <c r="BQ9" s="205"/>
      <c r="BR9" s="205"/>
      <c r="BS9" s="201"/>
      <c r="BT9" s="186"/>
      <c r="BV9" s="209" t="s">
        <v>549</v>
      </c>
      <c r="BW9" s="205"/>
      <c r="BX9" s="205"/>
      <c r="BY9" s="206"/>
      <c r="BZ9" s="94"/>
      <c r="CA9" s="209" t="s">
        <v>557</v>
      </c>
      <c r="CB9" s="205"/>
      <c r="CC9" s="205"/>
      <c r="CD9" s="205"/>
      <c r="CE9" s="201"/>
      <c r="CF9" s="186"/>
      <c r="CH9" s="209" t="s">
        <v>690</v>
      </c>
      <c r="CI9" s="205"/>
      <c r="CJ9" s="205"/>
      <c r="CK9" s="205"/>
      <c r="CL9" s="201"/>
      <c r="CM9" s="186"/>
      <c r="CO9" s="196" t="s">
        <v>688</v>
      </c>
      <c r="CP9" s="193"/>
      <c r="CQ9" s="193"/>
      <c r="CR9" s="286"/>
      <c r="CS9" s="202"/>
      <c r="CT9" s="188"/>
      <c r="CV9" s="209" t="s">
        <v>597</v>
      </c>
      <c r="CW9" s="205"/>
      <c r="CX9" s="205"/>
      <c r="CY9" s="205"/>
      <c r="CZ9" s="201"/>
      <c r="DA9" s="201"/>
      <c r="DB9" s="201"/>
      <c r="DC9" s="186"/>
    </row>
    <row r="10" spans="14:107" ht="12.75">
      <c r="N10" s="210" t="s">
        <v>417</v>
      </c>
      <c r="O10" s="207"/>
      <c r="P10" s="207"/>
      <c r="Q10" s="208"/>
      <c r="S10" s="209" t="s">
        <v>427</v>
      </c>
      <c r="T10" s="205"/>
      <c r="U10" s="205"/>
      <c r="V10" s="206"/>
      <c r="X10" s="209" t="s">
        <v>438</v>
      </c>
      <c r="Y10" s="205"/>
      <c r="Z10" s="205"/>
      <c r="AA10" s="206"/>
      <c r="AC10" s="195" t="s">
        <v>451</v>
      </c>
      <c r="AD10" s="191"/>
      <c r="AE10" s="191"/>
      <c r="AF10" s="198"/>
      <c r="AH10" s="211" t="s">
        <v>462</v>
      </c>
      <c r="AI10" s="219"/>
      <c r="AJ10" s="219"/>
      <c r="AK10" s="220"/>
      <c r="AN10" s="210" t="s">
        <v>497</v>
      </c>
      <c r="AO10" s="207"/>
      <c r="AP10" s="207"/>
      <c r="AQ10" s="208"/>
      <c r="AS10" s="210" t="s">
        <v>514</v>
      </c>
      <c r="AT10" s="207"/>
      <c r="AU10" s="207"/>
      <c r="AV10" s="208"/>
      <c r="AX10" s="210" t="s">
        <v>523</v>
      </c>
      <c r="AY10" s="207"/>
      <c r="AZ10" s="207"/>
      <c r="BA10" s="207"/>
      <c r="BB10" s="202"/>
      <c r="BC10" s="188"/>
      <c r="BE10" s="210" t="s">
        <v>529</v>
      </c>
      <c r="BF10" s="207"/>
      <c r="BG10" s="207"/>
      <c r="BH10" s="207"/>
      <c r="BI10" s="202"/>
      <c r="BJ10" s="188"/>
      <c r="BL10" s="210" t="s">
        <v>538</v>
      </c>
      <c r="BM10" s="208"/>
      <c r="BO10" s="209" t="s">
        <v>626</v>
      </c>
      <c r="BP10" s="205"/>
      <c r="BQ10" s="205"/>
      <c r="BR10" s="205"/>
      <c r="BS10" s="201"/>
      <c r="BT10" s="186"/>
      <c r="BV10" s="210" t="s">
        <v>550</v>
      </c>
      <c r="BW10" s="207"/>
      <c r="BX10" s="207"/>
      <c r="BY10" s="208"/>
      <c r="BZ10" s="94"/>
      <c r="CA10" s="209" t="s">
        <v>558</v>
      </c>
      <c r="CB10" s="205"/>
      <c r="CC10" s="205"/>
      <c r="CD10" s="205"/>
      <c r="CE10" s="201"/>
      <c r="CF10" s="186"/>
      <c r="CH10" s="209" t="s">
        <v>586</v>
      </c>
      <c r="CI10" s="205"/>
      <c r="CJ10" s="205"/>
      <c r="CK10" s="205"/>
      <c r="CL10" s="201"/>
      <c r="CM10" s="186"/>
      <c r="CO10" s="284"/>
      <c r="CP10" s="267"/>
      <c r="CQ10" s="267"/>
      <c r="CR10" s="267"/>
      <c r="CS10" s="94"/>
      <c r="CT10" s="94"/>
      <c r="CV10" s="209" t="s">
        <v>598</v>
      </c>
      <c r="CW10" s="205"/>
      <c r="CX10" s="205"/>
      <c r="CY10" s="205"/>
      <c r="CZ10" s="201"/>
      <c r="DA10" s="201"/>
      <c r="DB10" s="201"/>
      <c r="DC10" s="186"/>
    </row>
    <row r="11" spans="3:107" ht="14.25">
      <c r="C11" s="224"/>
      <c r="N11" s="204"/>
      <c r="O11" s="204"/>
      <c r="P11" s="204"/>
      <c r="Q11" s="204"/>
      <c r="S11" s="211" t="s">
        <v>428</v>
      </c>
      <c r="T11" s="212"/>
      <c r="U11" s="213"/>
      <c r="V11" s="214"/>
      <c r="X11" s="211" t="s">
        <v>443</v>
      </c>
      <c r="Y11" s="219"/>
      <c r="Z11" s="219"/>
      <c r="AA11" s="220"/>
      <c r="AC11" s="210" t="s">
        <v>452</v>
      </c>
      <c r="AD11" s="207"/>
      <c r="AE11" s="207"/>
      <c r="AF11" s="208"/>
      <c r="AH11" s="211" t="s">
        <v>463</v>
      </c>
      <c r="AI11" s="219"/>
      <c r="AJ11" s="219"/>
      <c r="AK11" s="220"/>
      <c r="BO11" s="211" t="s">
        <v>664</v>
      </c>
      <c r="BP11" s="201"/>
      <c r="BQ11" s="201"/>
      <c r="BR11" s="219"/>
      <c r="BS11" s="201"/>
      <c r="BT11" s="186"/>
      <c r="CA11" s="185" t="s">
        <v>669</v>
      </c>
      <c r="CB11" s="201"/>
      <c r="CC11" s="191"/>
      <c r="CD11" s="191"/>
      <c r="CE11" s="191"/>
      <c r="CF11" s="198"/>
      <c r="CH11" s="185" t="s">
        <v>587</v>
      </c>
      <c r="CI11" s="201"/>
      <c r="CJ11" s="191"/>
      <c r="CK11" s="191"/>
      <c r="CL11" s="191"/>
      <c r="CM11" s="198"/>
      <c r="CO11" s="285"/>
      <c r="CP11" s="94"/>
      <c r="CQ11" s="259"/>
      <c r="CR11" s="259"/>
      <c r="CS11" s="259"/>
      <c r="CT11" s="259"/>
      <c r="CV11" s="185" t="s">
        <v>599</v>
      </c>
      <c r="CW11" s="201"/>
      <c r="CX11" s="191"/>
      <c r="CY11" s="191"/>
      <c r="CZ11" s="191"/>
      <c r="DA11" s="191"/>
      <c r="DB11" s="191"/>
      <c r="DC11" s="198"/>
    </row>
    <row r="12" spans="19:107" ht="14.25">
      <c r="S12" s="211" t="s">
        <v>429</v>
      </c>
      <c r="T12" s="212"/>
      <c r="U12" s="213"/>
      <c r="V12" s="214"/>
      <c r="X12" s="211" t="s">
        <v>439</v>
      </c>
      <c r="Y12" s="219"/>
      <c r="Z12" s="219"/>
      <c r="AA12" s="220"/>
      <c r="AH12" s="211" t="s">
        <v>464</v>
      </c>
      <c r="AI12" s="219"/>
      <c r="AJ12" s="219"/>
      <c r="AK12" s="220"/>
      <c r="BO12" s="215" t="s">
        <v>541</v>
      </c>
      <c r="BP12" s="202"/>
      <c r="BQ12" s="202"/>
      <c r="BR12" s="221"/>
      <c r="BS12" s="202"/>
      <c r="BT12" s="188"/>
      <c r="CA12" s="203" t="s">
        <v>670</v>
      </c>
      <c r="CB12" s="202"/>
      <c r="CC12" s="193"/>
      <c r="CD12" s="193"/>
      <c r="CE12" s="193"/>
      <c r="CF12" s="199"/>
      <c r="CH12" s="203" t="s">
        <v>588</v>
      </c>
      <c r="CI12" s="202"/>
      <c r="CJ12" s="193"/>
      <c r="CK12" s="193"/>
      <c r="CL12" s="193"/>
      <c r="CM12" s="199"/>
      <c r="CO12" s="285"/>
      <c r="CP12" s="94"/>
      <c r="CQ12" s="259"/>
      <c r="CR12" s="259"/>
      <c r="CS12" s="259"/>
      <c r="CT12" s="259"/>
      <c r="CV12" s="203" t="s">
        <v>600</v>
      </c>
      <c r="CW12" s="202"/>
      <c r="CX12" s="193"/>
      <c r="CY12" s="193"/>
      <c r="CZ12" s="193"/>
      <c r="DA12" s="193"/>
      <c r="DB12" s="193"/>
      <c r="DC12" s="199"/>
    </row>
    <row r="13" spans="19:89" ht="15" thickBot="1">
      <c r="S13" s="215" t="s">
        <v>430</v>
      </c>
      <c r="T13" s="216"/>
      <c r="U13" s="217"/>
      <c r="V13" s="218"/>
      <c r="X13" s="215" t="s">
        <v>440</v>
      </c>
      <c r="Y13" s="221"/>
      <c r="Z13" s="221"/>
      <c r="AA13" s="222"/>
      <c r="AH13" s="215" t="s">
        <v>465</v>
      </c>
      <c r="AI13" s="221"/>
      <c r="AJ13" s="221"/>
      <c r="AK13" s="222"/>
      <c r="CK13" s="226"/>
    </row>
    <row r="14" spans="22:105" ht="15" thickBot="1">
      <c r="V14" s="168" t="s">
        <v>372</v>
      </c>
      <c r="W14" s="163"/>
      <c r="X14" s="163"/>
      <c r="Y14" s="164"/>
      <c r="Z14" s="165"/>
      <c r="AA14" s="166"/>
      <c r="AB14" s="166" t="s">
        <v>372</v>
      </c>
      <c r="AC14" s="163"/>
      <c r="AD14" s="164"/>
      <c r="AE14" s="163"/>
      <c r="AF14" s="163"/>
      <c r="AG14" s="172"/>
      <c r="AV14" s="162" t="s">
        <v>370</v>
      </c>
      <c r="AW14" s="163"/>
      <c r="AX14" s="163"/>
      <c r="AY14" s="164"/>
      <c r="AZ14" s="165"/>
      <c r="BA14" s="166" t="s">
        <v>370</v>
      </c>
      <c r="BB14" s="163"/>
      <c r="BC14" s="163"/>
      <c r="BD14" s="164"/>
      <c r="BE14" s="163"/>
      <c r="BF14" s="163"/>
      <c r="BG14" s="166" t="s">
        <v>371</v>
      </c>
      <c r="BH14" s="163"/>
      <c r="BI14" s="163"/>
      <c r="BJ14" s="167"/>
      <c r="BO14" s="168" t="s">
        <v>372</v>
      </c>
      <c r="BP14" s="163"/>
      <c r="BQ14" s="163"/>
      <c r="BR14" s="164"/>
      <c r="BS14" s="165"/>
      <c r="BT14" s="166"/>
      <c r="BU14" s="166" t="s">
        <v>372</v>
      </c>
      <c r="BV14" s="163"/>
      <c r="BW14" s="164"/>
      <c r="BX14" s="163"/>
      <c r="BY14" s="163"/>
      <c r="BZ14" s="166"/>
      <c r="CA14" s="166" t="s">
        <v>372</v>
      </c>
      <c r="CB14" s="163"/>
      <c r="CC14" s="165"/>
      <c r="CD14" s="165"/>
      <c r="CE14" s="165"/>
      <c r="CF14" s="169"/>
      <c r="CK14" s="226"/>
      <c r="CP14" s="162" t="s">
        <v>372</v>
      </c>
      <c r="CQ14" s="163"/>
      <c r="CR14" s="164"/>
      <c r="CS14" s="163"/>
      <c r="CT14" s="163"/>
      <c r="CU14" s="172"/>
      <c r="CV14" s="258"/>
      <c r="CW14" s="94"/>
      <c r="CX14" s="259"/>
      <c r="CY14" s="259"/>
      <c r="CZ14" s="259"/>
      <c r="DA14" s="259"/>
    </row>
    <row r="15" spans="4:99" ht="12.75">
      <c r="D15" s="58"/>
      <c r="E15" s="59"/>
      <c r="F15" s="60" t="s">
        <v>257</v>
      </c>
      <c r="G15" s="61"/>
      <c r="H15" s="62"/>
      <c r="I15" s="58"/>
      <c r="J15" s="59"/>
      <c r="K15" s="60" t="s">
        <v>255</v>
      </c>
      <c r="L15" s="59"/>
      <c r="M15" s="62"/>
      <c r="N15" s="77"/>
      <c r="O15" s="78"/>
      <c r="P15" s="79" t="s">
        <v>265</v>
      </c>
      <c r="Q15" s="78"/>
      <c r="R15" s="62"/>
      <c r="S15" s="84"/>
      <c r="T15" s="91" t="s">
        <v>269</v>
      </c>
      <c r="U15" s="85"/>
      <c r="V15" s="153" t="s">
        <v>272</v>
      </c>
      <c r="W15" s="153" t="s">
        <v>272</v>
      </c>
      <c r="X15" s="153" t="s">
        <v>272</v>
      </c>
      <c r="Y15" s="154" t="s">
        <v>272</v>
      </c>
      <c r="Z15" s="154" t="s">
        <v>272</v>
      </c>
      <c r="AA15" s="154" t="s">
        <v>272</v>
      </c>
      <c r="AB15" s="155" t="s">
        <v>272</v>
      </c>
      <c r="AC15" s="155" t="s">
        <v>272</v>
      </c>
      <c r="AD15" s="155" t="s">
        <v>272</v>
      </c>
      <c r="AE15" s="156" t="s">
        <v>272</v>
      </c>
      <c r="AF15" s="156" t="s">
        <v>272</v>
      </c>
      <c r="AG15" s="156" t="s">
        <v>272</v>
      </c>
      <c r="AP15" s="126"/>
      <c r="AQ15" s="126"/>
      <c r="AR15" s="126"/>
      <c r="AS15" s="127"/>
      <c r="AT15" s="127"/>
      <c r="AU15" s="127"/>
      <c r="AV15" s="132" t="s">
        <v>272</v>
      </c>
      <c r="AW15" s="132" t="s">
        <v>272</v>
      </c>
      <c r="AX15" s="132" t="s">
        <v>272</v>
      </c>
      <c r="AY15" s="153" t="s">
        <v>272</v>
      </c>
      <c r="AZ15" s="153" t="s">
        <v>272</v>
      </c>
      <c r="BA15" s="153" t="s">
        <v>272</v>
      </c>
      <c r="BB15" s="154" t="s">
        <v>272</v>
      </c>
      <c r="BC15" s="154" t="s">
        <v>272</v>
      </c>
      <c r="BD15" s="154" t="s">
        <v>272</v>
      </c>
      <c r="BE15" s="155" t="s">
        <v>272</v>
      </c>
      <c r="BF15" s="155" t="s">
        <v>272</v>
      </c>
      <c r="BG15" s="155" t="s">
        <v>272</v>
      </c>
      <c r="BH15" s="156" t="s">
        <v>272</v>
      </c>
      <c r="BI15" s="156" t="s">
        <v>272</v>
      </c>
      <c r="BJ15" s="156" t="s">
        <v>272</v>
      </c>
      <c r="BL15" s="234" t="s">
        <v>272</v>
      </c>
      <c r="BM15" s="237" t="s">
        <v>272</v>
      </c>
      <c r="BO15" s="153" t="s">
        <v>272</v>
      </c>
      <c r="BP15" s="153" t="s">
        <v>272</v>
      </c>
      <c r="BQ15" s="153" t="s">
        <v>272</v>
      </c>
      <c r="BR15" s="154" t="s">
        <v>272</v>
      </c>
      <c r="BS15" s="154" t="s">
        <v>272</v>
      </c>
      <c r="BT15" s="154" t="s">
        <v>272</v>
      </c>
      <c r="BU15" s="155" t="s">
        <v>272</v>
      </c>
      <c r="BV15" s="155" t="s">
        <v>272</v>
      </c>
      <c r="BW15" s="155" t="s">
        <v>272</v>
      </c>
      <c r="BX15" s="156" t="s">
        <v>272</v>
      </c>
      <c r="BY15" s="156" t="s">
        <v>272</v>
      </c>
      <c r="BZ15" s="156" t="s">
        <v>272</v>
      </c>
      <c r="CA15" s="132" t="s">
        <v>272</v>
      </c>
      <c r="CB15" s="132" t="s">
        <v>272</v>
      </c>
      <c r="CC15" s="170" t="s">
        <v>272</v>
      </c>
      <c r="CD15" s="127"/>
      <c r="CE15" s="127"/>
      <c r="CF15" s="127"/>
      <c r="CG15" s="126"/>
      <c r="CH15" s="126"/>
      <c r="CI15" s="126"/>
      <c r="CJ15" s="227"/>
      <c r="CK15" s="228" t="s">
        <v>499</v>
      </c>
      <c r="CL15" s="227"/>
      <c r="CM15" s="121"/>
      <c r="CN15" s="240" t="s">
        <v>499</v>
      </c>
      <c r="CO15" s="121"/>
      <c r="CP15" s="153" t="s">
        <v>571</v>
      </c>
      <c r="CQ15" s="153" t="s">
        <v>571</v>
      </c>
      <c r="CR15" s="153" t="s">
        <v>571</v>
      </c>
      <c r="CS15" s="154" t="s">
        <v>571</v>
      </c>
      <c r="CT15" s="154" t="s">
        <v>571</v>
      </c>
      <c r="CU15" s="154" t="s">
        <v>571</v>
      </c>
    </row>
    <row r="16" spans="1:99" ht="12.75">
      <c r="A16" s="96">
        <v>2010</v>
      </c>
      <c r="B16" s="96">
        <v>2010</v>
      </c>
      <c r="C16" s="96">
        <v>2010</v>
      </c>
      <c r="D16" s="63"/>
      <c r="E16" s="64"/>
      <c r="F16" s="65" t="s">
        <v>254</v>
      </c>
      <c r="G16" s="66"/>
      <c r="H16" s="67"/>
      <c r="I16" s="71"/>
      <c r="J16" s="72"/>
      <c r="K16" s="74" t="s">
        <v>256</v>
      </c>
      <c r="L16" s="72"/>
      <c r="M16" s="73"/>
      <c r="N16" s="80"/>
      <c r="O16" s="81"/>
      <c r="P16" s="83" t="s">
        <v>266</v>
      </c>
      <c r="Q16" s="81"/>
      <c r="R16" s="73"/>
      <c r="S16" s="86"/>
      <c r="T16" s="92" t="s">
        <v>270</v>
      </c>
      <c r="U16" s="87"/>
      <c r="V16" s="153" t="s">
        <v>630</v>
      </c>
      <c r="W16" s="153" t="s">
        <v>359</v>
      </c>
      <c r="X16" s="153" t="s">
        <v>359</v>
      </c>
      <c r="Y16" s="154" t="s">
        <v>630</v>
      </c>
      <c r="Z16" s="154" t="s">
        <v>360</v>
      </c>
      <c r="AA16" s="154" t="s">
        <v>360</v>
      </c>
      <c r="AB16" s="155" t="s">
        <v>630</v>
      </c>
      <c r="AC16" s="155" t="s">
        <v>361</v>
      </c>
      <c r="AD16" s="155" t="s">
        <v>361</v>
      </c>
      <c r="AE16" s="156" t="s">
        <v>630</v>
      </c>
      <c r="AF16" s="156" t="s">
        <v>362</v>
      </c>
      <c r="AG16" s="156" t="s">
        <v>362</v>
      </c>
      <c r="AP16" s="126"/>
      <c r="AQ16" s="126"/>
      <c r="AR16" s="126"/>
      <c r="AS16" s="128" t="s">
        <v>272</v>
      </c>
      <c r="AT16" s="128" t="s">
        <v>272</v>
      </c>
      <c r="AU16" s="128" t="s">
        <v>272</v>
      </c>
      <c r="AV16" s="132" t="s">
        <v>357</v>
      </c>
      <c r="AW16" s="132" t="s">
        <v>358</v>
      </c>
      <c r="AX16" s="132" t="s">
        <v>358</v>
      </c>
      <c r="AY16" s="153" t="s">
        <v>356</v>
      </c>
      <c r="AZ16" s="153" t="s">
        <v>359</v>
      </c>
      <c r="BA16" s="153" t="s">
        <v>359</v>
      </c>
      <c r="BB16" s="154" t="s">
        <v>356</v>
      </c>
      <c r="BC16" s="154" t="s">
        <v>360</v>
      </c>
      <c r="BD16" s="154" t="s">
        <v>360</v>
      </c>
      <c r="BE16" s="155" t="s">
        <v>356</v>
      </c>
      <c r="BF16" s="155" t="s">
        <v>361</v>
      </c>
      <c r="BG16" s="155" t="s">
        <v>361</v>
      </c>
      <c r="BH16" s="156" t="s">
        <v>356</v>
      </c>
      <c r="BI16" s="156" t="s">
        <v>362</v>
      </c>
      <c r="BJ16" s="156" t="s">
        <v>362</v>
      </c>
      <c r="BL16" s="235" t="s">
        <v>353</v>
      </c>
      <c r="BM16" s="238" t="s">
        <v>354</v>
      </c>
      <c r="BO16" s="153" t="s">
        <v>356</v>
      </c>
      <c r="BP16" s="153" t="s">
        <v>359</v>
      </c>
      <c r="BQ16" s="153" t="s">
        <v>359</v>
      </c>
      <c r="BR16" s="154" t="s">
        <v>356</v>
      </c>
      <c r="BS16" s="154" t="s">
        <v>360</v>
      </c>
      <c r="BT16" s="154" t="s">
        <v>360</v>
      </c>
      <c r="BU16" s="155" t="s">
        <v>356</v>
      </c>
      <c r="BV16" s="155" t="s">
        <v>361</v>
      </c>
      <c r="BW16" s="155" t="s">
        <v>361</v>
      </c>
      <c r="BX16" s="156" t="s">
        <v>356</v>
      </c>
      <c r="BY16" s="156" t="s">
        <v>362</v>
      </c>
      <c r="BZ16" s="156" t="s">
        <v>362</v>
      </c>
      <c r="CA16" s="132" t="s">
        <v>357</v>
      </c>
      <c r="CB16" s="132" t="s">
        <v>358</v>
      </c>
      <c r="CC16" s="170" t="s">
        <v>358</v>
      </c>
      <c r="CD16" s="128" t="s">
        <v>272</v>
      </c>
      <c r="CE16" s="128" t="s">
        <v>272</v>
      </c>
      <c r="CF16" s="128" t="s">
        <v>272</v>
      </c>
      <c r="CG16" s="126"/>
      <c r="CH16" s="126"/>
      <c r="CI16" s="126"/>
      <c r="CJ16" s="227"/>
      <c r="CK16" s="228" t="s">
        <v>502</v>
      </c>
      <c r="CL16" s="227"/>
      <c r="CM16" s="121"/>
      <c r="CN16" s="240" t="s">
        <v>560</v>
      </c>
      <c r="CO16" s="121"/>
      <c r="CP16" s="153" t="s">
        <v>570</v>
      </c>
      <c r="CQ16" s="153" t="s">
        <v>570</v>
      </c>
      <c r="CR16" s="153" t="s">
        <v>570</v>
      </c>
      <c r="CS16" s="154" t="s">
        <v>570</v>
      </c>
      <c r="CT16" s="154" t="s">
        <v>570</v>
      </c>
      <c r="CU16" s="154" t="s">
        <v>570</v>
      </c>
    </row>
    <row r="17" spans="1:130" s="27" customFormat="1" ht="12.75">
      <c r="A17" s="70" t="s">
        <v>0</v>
      </c>
      <c r="B17" s="70" t="s">
        <v>1</v>
      </c>
      <c r="C17" s="70" t="s">
        <v>2</v>
      </c>
      <c r="D17" s="68" t="s">
        <v>3</v>
      </c>
      <c r="E17" s="68" t="s">
        <v>4</v>
      </c>
      <c r="F17" s="68" t="s">
        <v>5</v>
      </c>
      <c r="G17" s="69" t="s">
        <v>242</v>
      </c>
      <c r="H17" s="68" t="s">
        <v>6</v>
      </c>
      <c r="I17" s="68" t="s">
        <v>258</v>
      </c>
      <c r="J17" s="68" t="s">
        <v>259</v>
      </c>
      <c r="K17" s="68" t="s">
        <v>260</v>
      </c>
      <c r="L17" s="68" t="s">
        <v>261</v>
      </c>
      <c r="M17" s="70" t="s">
        <v>262</v>
      </c>
      <c r="N17" s="76" t="s">
        <v>7</v>
      </c>
      <c r="O17" s="76" t="s">
        <v>8</v>
      </c>
      <c r="P17" s="76" t="s">
        <v>9</v>
      </c>
      <c r="Q17" s="76" t="s">
        <v>10</v>
      </c>
      <c r="R17" s="68" t="s">
        <v>11</v>
      </c>
      <c r="S17" s="88" t="s">
        <v>267</v>
      </c>
      <c r="T17" s="68" t="s">
        <v>271</v>
      </c>
      <c r="U17" s="88" t="s">
        <v>268</v>
      </c>
      <c r="V17" s="153" t="s">
        <v>359</v>
      </c>
      <c r="W17" s="153" t="s">
        <v>305</v>
      </c>
      <c r="X17" s="153" t="s">
        <v>304</v>
      </c>
      <c r="Y17" s="154" t="s">
        <v>360</v>
      </c>
      <c r="Z17" s="154" t="s">
        <v>305</v>
      </c>
      <c r="AA17" s="154" t="s">
        <v>304</v>
      </c>
      <c r="AB17" s="155" t="s">
        <v>361</v>
      </c>
      <c r="AC17" s="155" t="s">
        <v>305</v>
      </c>
      <c r="AD17" s="155" t="s">
        <v>304</v>
      </c>
      <c r="AE17" s="156" t="s">
        <v>362</v>
      </c>
      <c r="AF17" s="156" t="s">
        <v>305</v>
      </c>
      <c r="AG17" s="156" t="s">
        <v>304</v>
      </c>
      <c r="AH17" s="89"/>
      <c r="AI17" s="89"/>
      <c r="AJ17" s="1"/>
      <c r="AK17" s="1"/>
      <c r="AL17" s="1"/>
      <c r="AM17" s="1"/>
      <c r="AN17" s="89"/>
      <c r="AO17" s="90"/>
      <c r="AP17" s="129" t="s">
        <v>0</v>
      </c>
      <c r="AQ17" s="129" t="s">
        <v>238</v>
      </c>
      <c r="AR17" s="130" t="s">
        <v>1</v>
      </c>
      <c r="AS17" s="128" t="s">
        <v>273</v>
      </c>
      <c r="AT17" s="128" t="s">
        <v>305</v>
      </c>
      <c r="AU17" s="128" t="s">
        <v>304</v>
      </c>
      <c r="AV17" s="132" t="s">
        <v>12</v>
      </c>
      <c r="AW17" s="132" t="s">
        <v>305</v>
      </c>
      <c r="AX17" s="132" t="s">
        <v>304</v>
      </c>
      <c r="AY17" s="153" t="s">
        <v>359</v>
      </c>
      <c r="AZ17" s="153" t="s">
        <v>305</v>
      </c>
      <c r="BA17" s="153" t="s">
        <v>304</v>
      </c>
      <c r="BB17" s="154" t="s">
        <v>360</v>
      </c>
      <c r="BC17" s="154" t="s">
        <v>305</v>
      </c>
      <c r="BD17" s="154" t="s">
        <v>304</v>
      </c>
      <c r="BE17" s="155" t="s">
        <v>361</v>
      </c>
      <c r="BF17" s="155" t="s">
        <v>305</v>
      </c>
      <c r="BG17" s="155" t="s">
        <v>304</v>
      </c>
      <c r="BH17" s="156" t="s">
        <v>362</v>
      </c>
      <c r="BI17" s="156" t="s">
        <v>305</v>
      </c>
      <c r="BJ17" s="156" t="s">
        <v>304</v>
      </c>
      <c r="BK17"/>
      <c r="BL17" s="236" t="s">
        <v>355</v>
      </c>
      <c r="BM17" s="239" t="s">
        <v>355</v>
      </c>
      <c r="BN17"/>
      <c r="BO17" s="153" t="s">
        <v>359</v>
      </c>
      <c r="BP17" s="153" t="s">
        <v>305</v>
      </c>
      <c r="BQ17" s="153" t="s">
        <v>304</v>
      </c>
      <c r="BR17" s="154" t="s">
        <v>360</v>
      </c>
      <c r="BS17" s="154" t="s">
        <v>305</v>
      </c>
      <c r="BT17" s="154" t="s">
        <v>304</v>
      </c>
      <c r="BU17" s="155" t="s">
        <v>361</v>
      </c>
      <c r="BV17" s="155" t="s">
        <v>305</v>
      </c>
      <c r="BW17" s="155" t="s">
        <v>304</v>
      </c>
      <c r="BX17" s="156" t="s">
        <v>362</v>
      </c>
      <c r="BY17" s="156" t="s">
        <v>305</v>
      </c>
      <c r="BZ17" s="156" t="s">
        <v>304</v>
      </c>
      <c r="CA17" s="132" t="s">
        <v>12</v>
      </c>
      <c r="CB17" s="132" t="s">
        <v>305</v>
      </c>
      <c r="CC17" s="170" t="s">
        <v>304</v>
      </c>
      <c r="CD17" s="128" t="s">
        <v>273</v>
      </c>
      <c r="CE17" s="128" t="s">
        <v>305</v>
      </c>
      <c r="CF17" s="128" t="s">
        <v>304</v>
      </c>
      <c r="CG17" s="129" t="s">
        <v>0</v>
      </c>
      <c r="CH17" s="129" t="s">
        <v>238</v>
      </c>
      <c r="CI17" s="130" t="s">
        <v>1</v>
      </c>
      <c r="CJ17" s="228" t="s">
        <v>500</v>
      </c>
      <c r="CK17" s="228" t="s">
        <v>501</v>
      </c>
      <c r="CL17" s="228" t="s">
        <v>503</v>
      </c>
      <c r="CM17" s="240" t="s">
        <v>500</v>
      </c>
      <c r="CN17" s="240" t="s">
        <v>501</v>
      </c>
      <c r="CO17" s="240" t="s">
        <v>503</v>
      </c>
      <c r="CP17" s="153" t="s">
        <v>359</v>
      </c>
      <c r="CQ17" s="153" t="s">
        <v>305</v>
      </c>
      <c r="CR17" s="153" t="s">
        <v>304</v>
      </c>
      <c r="CS17" s="154" t="s">
        <v>360</v>
      </c>
      <c r="CT17" s="154" t="s">
        <v>305</v>
      </c>
      <c r="CU17" s="154" t="s">
        <v>304</v>
      </c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</row>
    <row r="18" spans="1:99" ht="12.75">
      <c r="A18" t="s">
        <v>13</v>
      </c>
      <c r="B18" s="1">
        <v>3446548</v>
      </c>
      <c r="C18" s="10" t="s">
        <v>14</v>
      </c>
      <c r="D18" s="113">
        <v>3</v>
      </c>
      <c r="E18" s="113">
        <v>6</v>
      </c>
      <c r="F18" s="113">
        <v>93</v>
      </c>
      <c r="G18" s="113">
        <v>1.2</v>
      </c>
      <c r="H18" s="107">
        <v>22.1</v>
      </c>
      <c r="I18" s="1">
        <f>(B18*D18)/100</f>
        <v>103396.44</v>
      </c>
      <c r="J18" s="1">
        <f>(B18*E18)/100</f>
        <v>206792.88</v>
      </c>
      <c r="K18" s="1">
        <f>(B18*F18)/100</f>
        <v>3205289.64</v>
      </c>
      <c r="L18" s="1">
        <f>(B18*G18)/100</f>
        <v>41358.575999999994</v>
      </c>
      <c r="M18" s="1">
        <f>(B18*H18)/100</f>
        <v>761687.1080000001</v>
      </c>
      <c r="N18" s="75">
        <f>((D18/100)-I152)*(B155-1)</f>
        <v>-0.15114333187228657</v>
      </c>
      <c r="O18" s="75">
        <f>((E18/100)-J152)*(B156-1)</f>
        <v>-0.011255489713891023</v>
      </c>
      <c r="P18" s="75">
        <f>((F18/100)-K152)*(B157-1)</f>
        <v>0.12127569269115368</v>
      </c>
      <c r="Q18" s="75">
        <f>((G18/100)-L152)*(B158-1)</f>
        <v>-0.4078025551453953</v>
      </c>
      <c r="R18" s="75">
        <f>((H18/100)-M152)*(B159-1)</f>
        <v>0.09424402890443309</v>
      </c>
      <c r="S18" s="1">
        <f>(1+N18+O18+P18+Q18+R18)*0.22*B18</f>
        <v>489306.543187963</v>
      </c>
      <c r="T18" s="2">
        <f>S18/B18</f>
        <v>0.14197003587008306</v>
      </c>
      <c r="U18" s="1">
        <f>S18*0.115</f>
        <v>56270.25246661575</v>
      </c>
      <c r="V18" s="1">
        <f>AS18*0.07-(AS18*0.07*BM18*0.58)</f>
        <v>34251.458023157415</v>
      </c>
      <c r="W18" s="1">
        <f>AT18*0.07-(AT18*0.07*BM18*0.58)</f>
        <v>17125.729011578707</v>
      </c>
      <c r="X18" s="1">
        <f>AU18*0.07-(AU18*0.07*BM18*0.58)</f>
        <v>79401.10723550127</v>
      </c>
      <c r="Y18" s="1">
        <f>AS18*0.04-(AS18*0.04*BL18*0.8)</f>
        <v>4697.342814604446</v>
      </c>
      <c r="Z18" s="1">
        <f>AT18*0.04-(AT18*0.04*BL18*0.8)</f>
        <v>2348.671407302223</v>
      </c>
      <c r="AA18" s="1">
        <f>AU18*0.04-(AU18*0.04*BL18*0.8)</f>
        <v>10889.29470658303</v>
      </c>
      <c r="AB18" s="1">
        <f>CD18*0.2884</f>
        <v>135753.598787303</v>
      </c>
      <c r="AC18" s="1">
        <f>CE18*0.2884</f>
        <v>67876.7993936515</v>
      </c>
      <c r="AD18" s="1">
        <f>CF18*0.2884</f>
        <v>314701.52446147514</v>
      </c>
      <c r="AE18" s="1">
        <f>CD18*0.1707</f>
        <v>80350.69109914225</v>
      </c>
      <c r="AF18" s="1">
        <f>CE18*0.1707</f>
        <v>40175.345549571124</v>
      </c>
      <c r="AG18" s="1">
        <f>CF18*0.1707</f>
        <v>186267.5111843752</v>
      </c>
      <c r="AP18" t="s">
        <v>13</v>
      </c>
      <c r="AQ18" s="10" t="s">
        <v>157</v>
      </c>
      <c r="AR18" s="1">
        <v>3446548</v>
      </c>
      <c r="AS18" s="1">
        <v>489306.543187963</v>
      </c>
      <c r="AT18" s="1">
        <v>244653.2715939815</v>
      </c>
      <c r="AU18" s="1">
        <v>1134301.5319357323</v>
      </c>
      <c r="AV18" s="1">
        <v>56270.25246661575</v>
      </c>
      <c r="AW18" s="1">
        <v>39144.523455037044</v>
      </c>
      <c r="AX18" s="1">
        <v>161471.1592520278</v>
      </c>
      <c r="AY18" s="1">
        <f>AV18*0.183</f>
        <v>10297.456201390682</v>
      </c>
      <c r="AZ18" s="1">
        <f>AY18*0.58456</f>
        <v>6019.4809970849365</v>
      </c>
      <c r="BA18" s="1">
        <f>AY18*1.3804</f>
        <v>14214.608540399697</v>
      </c>
      <c r="BB18" s="1">
        <f>AV18*0.058</f>
        <v>3263.6746430637136</v>
      </c>
      <c r="BC18" s="1">
        <f>BB18*0</f>
        <v>0</v>
      </c>
      <c r="BD18" s="1">
        <f>BB18*2.3951</f>
        <v>7816.827137601899</v>
      </c>
      <c r="BE18" s="1">
        <f>AV18*0.13</f>
        <v>7315.132820660047</v>
      </c>
      <c r="BF18" s="1">
        <f>BE18*0.643</f>
        <v>4703.63040368441</v>
      </c>
      <c r="BG18" s="1">
        <f>BE18*1.548</f>
        <v>11323.825606381753</v>
      </c>
      <c r="BH18" s="1">
        <f>AV18*0.04</f>
        <v>2250.81009866463</v>
      </c>
      <c r="BI18" s="1">
        <f>BH18*0.5</f>
        <v>1125.405049332315</v>
      </c>
      <c r="BJ18" s="1">
        <f>BH18*1.786</f>
        <v>4019.946836215029</v>
      </c>
      <c r="BK18" s="1"/>
      <c r="BL18" s="2">
        <v>0.95</v>
      </c>
      <c r="BM18" s="2">
        <v>0</v>
      </c>
      <c r="BO18" s="1">
        <f>AY18-(AY18*BM18*0.58)</f>
        <v>10297.456201390682</v>
      </c>
      <c r="BP18" s="1">
        <f>AZ18-(AZ18*BM18*0.58)</f>
        <v>6019.4809970849365</v>
      </c>
      <c r="BQ18" s="1">
        <f>BA18-(BA18*BM18*0.58)</f>
        <v>14214.608540399697</v>
      </c>
      <c r="BR18" s="1">
        <f>BB18-(BB18*BL18*0.8)</f>
        <v>783.2819143352913</v>
      </c>
      <c r="BS18" s="1">
        <f>BC18-(BC18*BL18*0.8)</f>
        <v>0</v>
      </c>
      <c r="BT18" s="1">
        <f>BD18-(BD18*BL18*0.8)</f>
        <v>1876.0385130244558</v>
      </c>
      <c r="BU18" s="1">
        <f aca="true" t="shared" si="0" ref="BU18:BZ18">BE18</f>
        <v>7315.132820660047</v>
      </c>
      <c r="BV18" s="1">
        <f t="shared" si="0"/>
        <v>4703.63040368441</v>
      </c>
      <c r="BW18" s="1">
        <f t="shared" si="0"/>
        <v>11323.825606381753</v>
      </c>
      <c r="BX18" s="1">
        <f t="shared" si="0"/>
        <v>2250.81009866463</v>
      </c>
      <c r="BY18" s="1">
        <f t="shared" si="0"/>
        <v>1125.405049332315</v>
      </c>
      <c r="BZ18" s="1">
        <f t="shared" si="0"/>
        <v>4019.946836215029</v>
      </c>
      <c r="CA18" s="1">
        <f>AV18-(AY18-BO18)-(BB18-BR18)</f>
        <v>53789.859737887324</v>
      </c>
      <c r="CB18" s="1">
        <f>AW18-(AZ18-BP18)-(BC18-BS18)</f>
        <v>39144.523455037044</v>
      </c>
      <c r="CC18" s="1">
        <f>AX18-(BA18-BQ18)-(BD18-BT18)</f>
        <v>155530.37062745035</v>
      </c>
      <c r="CD18" s="1">
        <f aca="true" t="shared" si="1" ref="CD18:CD49">AS18-(AS18*BM18*0.07)-(AS18*BL18*0.04)</f>
        <v>470712.89454682043</v>
      </c>
      <c r="CE18" s="1">
        <f aca="true" t="shared" si="2" ref="CE18:CE49">AT18-(AT18*BM18*0.07)-(AT18*BL18*0.04)</f>
        <v>235356.44727341022</v>
      </c>
      <c r="CF18" s="1">
        <f aca="true" t="shared" si="3" ref="CF18:CF49">AU18-(AU18*BM18*0.07)-(AU18*BL18*0.04)</f>
        <v>1091198.0737221746</v>
      </c>
      <c r="CG18" t="s">
        <v>13</v>
      </c>
      <c r="CH18" s="10" t="s">
        <v>157</v>
      </c>
      <c r="CI18" s="1">
        <v>3446548</v>
      </c>
      <c r="CJ18" s="102">
        <v>1172.672</v>
      </c>
      <c r="CK18" s="1">
        <v>1938.148</v>
      </c>
      <c r="CL18" s="1">
        <f>CJ18+CK18</f>
        <v>3110.8199999999997</v>
      </c>
      <c r="CM18" s="1">
        <v>1060.0810993865</v>
      </c>
      <c r="CN18" s="1">
        <v>1379.50164332688</v>
      </c>
      <c r="CO18" s="1">
        <f>CM18+CN18</f>
        <v>2439.58274271338</v>
      </c>
      <c r="CP18" s="1">
        <f aca="true" t="shared" si="4" ref="CP18:CP49">((0.3296-(0.3296*BM18*0.58))/(1-(0.3296*BM18*0.58)))*CO18</f>
        <v>804.08647199833</v>
      </c>
      <c r="CQ18" s="1">
        <f aca="true" t="shared" si="5" ref="CQ18:CQ49">((0.1745-(0.1745*BM18*0.58))/(1-(0.1745*BM18*0.58)))*CO18</f>
        <v>425.7071886034848</v>
      </c>
      <c r="CR18" s="1">
        <f aca="true" t="shared" si="6" ref="CR18:CR49">((0.4556-(0.4556*BM18*0.58))/(1-(0.4556*BM18*0.58)))*CO18</f>
        <v>1111.4738975802159</v>
      </c>
      <c r="CS18" s="1">
        <f aca="true" t="shared" si="7" ref="CS18:CS49">((0.2126-(0.2126*BL18*0.8))/(1-(0.2126*BL18*0.8)))*CO18</f>
        <v>148.46577610398495</v>
      </c>
      <c r="CT18" s="1">
        <f aca="true" t="shared" si="8" ref="CT18:CT49">((0.0302-(0.0302*BL18*0.8))/(1-(0.0302*BL18*0.8)))*CO18</f>
        <v>18.097468823626453</v>
      </c>
      <c r="CU18" s="1">
        <f aca="true" t="shared" si="9" ref="CU18:CU49">((0.3608-(0.3608*BL18*0.8))/(1-(0.3608*BL18*0.8)))*CO18</f>
        <v>291.0590759570745</v>
      </c>
    </row>
    <row r="19" spans="1:99" ht="12.75">
      <c r="A19" t="s">
        <v>15</v>
      </c>
      <c r="B19" s="1">
        <v>3377576</v>
      </c>
      <c r="C19" s="10" t="s">
        <v>14</v>
      </c>
      <c r="D19" s="113">
        <v>16</v>
      </c>
      <c r="E19" s="113">
        <v>12</v>
      </c>
      <c r="F19" s="113">
        <v>89</v>
      </c>
      <c r="G19" s="118">
        <v>54</v>
      </c>
      <c r="H19" s="113">
        <v>23.4</v>
      </c>
      <c r="I19" s="1">
        <f aca="true" t="shared" si="10" ref="I19:I51">(B19*D19)/100</f>
        <v>540412.16</v>
      </c>
      <c r="J19" s="1">
        <f aca="true" t="shared" si="11" ref="J19:J51">(B19*E19)/100</f>
        <v>405309.12</v>
      </c>
      <c r="K19" s="1">
        <f aca="true" t="shared" si="12" ref="K19:K51">(B19*F19)/100</f>
        <v>3006042.64</v>
      </c>
      <c r="L19" s="1">
        <f aca="true" t="shared" si="13" ref="L19:L51">(B19*G19)/100</f>
        <v>1823891.04</v>
      </c>
      <c r="M19" s="1">
        <f aca="true" t="shared" si="14" ref="M19:M51">(B19*H19)/100</f>
        <v>790352.7839999999</v>
      </c>
      <c r="N19" s="12">
        <f>((D19/100)-0.2189)*0.8</f>
        <v>-0.04712000000000001</v>
      </c>
      <c r="O19" s="12">
        <f>((E19/100)-0.0881)*0.4</f>
        <v>0.01276</v>
      </c>
      <c r="P19" s="12">
        <f>((F19/100)-0.5257)*0.3</f>
        <v>0.10929000000000001</v>
      </c>
      <c r="Q19" s="12">
        <f>((G19/100)-0.5218)*0.8</f>
        <v>0.014559999999999997</v>
      </c>
      <c r="R19" s="12">
        <f>((H19/100)-0.1258)*0.99</f>
        <v>0.10711799999999999</v>
      </c>
      <c r="S19" s="1">
        <f aca="true" t="shared" si="15" ref="S19:S82">(1+N19+O19+P19+Q19+R19)*0.22*B19</f>
        <v>889159.5816857601</v>
      </c>
      <c r="T19" s="2">
        <f aca="true" t="shared" si="16" ref="T19:T51">S19/B19</f>
        <v>0.26325376</v>
      </c>
      <c r="U19" s="1">
        <f aca="true" t="shared" si="17" ref="U19:U82">S19*0.115</f>
        <v>102253.35189386242</v>
      </c>
      <c r="V19" s="1">
        <f aca="true" t="shared" si="18" ref="V19:V82">AS19*0.07-(AS19*0.07*BM19*0.58)</f>
        <v>62241.17071800321</v>
      </c>
      <c r="W19" s="1">
        <f aca="true" t="shared" si="19" ref="W19:W82">AT19*0.07-(AT19*0.07*BM19*0.58)</f>
        <v>31120.585359001605</v>
      </c>
      <c r="X19" s="1">
        <f aca="true" t="shared" si="20" ref="X19:X82">AU19*0.07-(AU19*0.07*BM19*0.58)</f>
        <v>144286.3503008256</v>
      </c>
      <c r="Y19" s="1">
        <f aca="true" t="shared" si="21" ref="Y19:Y82">AS19*0.04-(AS19*0.04*BL19*0.8)</f>
        <v>9674.056248741068</v>
      </c>
      <c r="Z19" s="1">
        <f aca="true" t="shared" si="22" ref="Z19:Z82">AT19*0.04-(AT19*0.04*BL19*0.8)</f>
        <v>4837.028124370534</v>
      </c>
      <c r="AA19" s="1">
        <f aca="true" t="shared" si="23" ref="AA19:AA82">AU19*0.04-(AU19*0.04*BL19*0.8)</f>
        <v>22426.221303899736</v>
      </c>
      <c r="AB19" s="1">
        <f aca="true" t="shared" si="24" ref="AB19:AB82">CD19*0.2884</f>
        <v>247099.43946793568</v>
      </c>
      <c r="AC19" s="1">
        <f aca="true" t="shared" si="25" ref="AC19:AC82">CE19*0.2884</f>
        <v>123549.71973396784</v>
      </c>
      <c r="AD19" s="1">
        <f aca="true" t="shared" si="26" ref="AD19:AD82">CF19*0.2884</f>
        <v>572821.4278574871</v>
      </c>
      <c r="AE19" s="1">
        <f aca="true" t="shared" si="27" ref="AE19:AE82">CD19*0.1707</f>
        <v>146254.7653161464</v>
      </c>
      <c r="AF19" s="1">
        <f aca="true" t="shared" si="28" ref="AF19:AF82">CE19*0.1707</f>
        <v>73127.3826580732</v>
      </c>
      <c r="AG19" s="1">
        <f aca="true" t="shared" si="29" ref="AG19:AG82">CF19*0.1707</f>
        <v>339045.1377783393</v>
      </c>
      <c r="AP19" s="26" t="s">
        <v>15</v>
      </c>
      <c r="AQ19" s="10" t="s">
        <v>157</v>
      </c>
      <c r="AR19" s="1">
        <v>3377576</v>
      </c>
      <c r="AS19" s="1">
        <v>889159.5816857601</v>
      </c>
      <c r="AT19" s="1">
        <v>444579.79084288003</v>
      </c>
      <c r="AU19" s="1">
        <v>2061233.5757260798</v>
      </c>
      <c r="AV19" s="1">
        <v>102253.35189386242</v>
      </c>
      <c r="AW19" s="1">
        <v>71132.76653486081</v>
      </c>
      <c r="AX19" s="1">
        <v>293422.66195630084</v>
      </c>
      <c r="AY19" s="1">
        <f aca="true" t="shared" si="30" ref="AY19:AY82">AV19*0.183</f>
        <v>18712.36339657682</v>
      </c>
      <c r="AZ19" s="1">
        <f aca="true" t="shared" si="31" ref="AZ19:AZ82">AY19*0.58456</f>
        <v>10938.499147102946</v>
      </c>
      <c r="BA19" s="1">
        <f aca="true" t="shared" si="32" ref="BA19:BA82">AY19*1.3804</f>
        <v>25830.546432634645</v>
      </c>
      <c r="BB19" s="1">
        <f aca="true" t="shared" si="33" ref="BB19:BB82">AV19*0.058</f>
        <v>5930.694409844021</v>
      </c>
      <c r="BC19" s="1">
        <f aca="true" t="shared" si="34" ref="BC19:BC82">BB19*0</f>
        <v>0</v>
      </c>
      <c r="BD19" s="1">
        <f aca="true" t="shared" si="35" ref="BD19:BD82">BB19*2.3951</f>
        <v>14204.606181017412</v>
      </c>
      <c r="BE19" s="1">
        <f aca="true" t="shared" si="36" ref="BE19:BE35">AV19*0.13</f>
        <v>13292.935746202114</v>
      </c>
      <c r="BF19" s="1">
        <f aca="true" t="shared" si="37" ref="BF19:BF63">BE19*0.643</f>
        <v>8547.35768480796</v>
      </c>
      <c r="BG19" s="1">
        <f aca="true" t="shared" si="38" ref="BG19:BG63">BE19*1.548</f>
        <v>20577.464535120875</v>
      </c>
      <c r="BH19" s="1">
        <f aca="true" t="shared" si="39" ref="BH19:BH63">AV19*0.04</f>
        <v>4090.1340757544967</v>
      </c>
      <c r="BI19" s="1">
        <f aca="true" t="shared" si="40" ref="BI19:BI63">BH19*0.5</f>
        <v>2045.0670378772484</v>
      </c>
      <c r="BJ19" s="1">
        <f aca="true" t="shared" si="41" ref="BJ19:BJ63">BH19*1.786</f>
        <v>7304.979459297531</v>
      </c>
      <c r="BK19" s="1"/>
      <c r="BL19" s="2">
        <v>0.91</v>
      </c>
      <c r="BM19" s="2">
        <v>0</v>
      </c>
      <c r="BO19" s="1">
        <f aca="true" t="shared" si="42" ref="BO19:BO82">AY19-(AY19*BM19*0.58)</f>
        <v>18712.36339657682</v>
      </c>
      <c r="BP19" s="1">
        <f aca="true" t="shared" si="43" ref="BP19:BP82">AZ19-(AZ19*BM19*0.58)</f>
        <v>10938.499147102946</v>
      </c>
      <c r="BQ19" s="1">
        <f aca="true" t="shared" si="44" ref="BQ19:BQ82">BA19-(BA19*BM19*0.58)</f>
        <v>25830.546432634645</v>
      </c>
      <c r="BR19" s="1">
        <f aca="true" t="shared" si="45" ref="BR19:BR82">BB19-(BB19*BL19*0.8)</f>
        <v>1613.1488794775732</v>
      </c>
      <c r="BS19" s="1">
        <f aca="true" t="shared" si="46" ref="BS19:BS82">BC19-(BC19*BL19*0.8)</f>
        <v>0</v>
      </c>
      <c r="BT19" s="1">
        <f aca="true" t="shared" si="47" ref="BT19:BT82">BD19-(BD19*BL19*0.8)</f>
        <v>3863.652881236736</v>
      </c>
      <c r="BU19" s="1">
        <f aca="true" t="shared" si="48" ref="BU19:BU82">BE19</f>
        <v>13292.935746202114</v>
      </c>
      <c r="BV19" s="1">
        <f aca="true" t="shared" si="49" ref="BV19:BV82">BF19</f>
        <v>8547.35768480796</v>
      </c>
      <c r="BW19" s="1">
        <f aca="true" t="shared" si="50" ref="BW19:BW82">BG19</f>
        <v>20577.464535120875</v>
      </c>
      <c r="BX19" s="1">
        <f aca="true" t="shared" si="51" ref="BX19:BX82">BH19</f>
        <v>4090.1340757544967</v>
      </c>
      <c r="BY19" s="1">
        <f aca="true" t="shared" si="52" ref="BY19:BY82">BI19</f>
        <v>2045.0670378772484</v>
      </c>
      <c r="BZ19" s="1">
        <f aca="true" t="shared" si="53" ref="BZ19:BZ82">BJ19</f>
        <v>7304.979459297531</v>
      </c>
      <c r="CA19" s="1">
        <f aca="true" t="shared" si="54" ref="CA19:CA82">AV19-(AY19-BO19)-(BB19-BR19)</f>
        <v>97935.80636349597</v>
      </c>
      <c r="CB19" s="1">
        <f aca="true" t="shared" si="55" ref="CB19:CB82">AW19-(AZ19-BP19)-(BC19-BS19)</f>
        <v>71132.76653486081</v>
      </c>
      <c r="CC19" s="1">
        <f aca="true" t="shared" si="56" ref="CC19:CC82">AX19-(BA19-BQ19)-(BD19-BT19)</f>
        <v>283081.7086565202</v>
      </c>
      <c r="CD19" s="1">
        <f t="shared" si="1"/>
        <v>856794.1729123984</v>
      </c>
      <c r="CE19" s="1">
        <f t="shared" si="2"/>
        <v>428397.0864561992</v>
      </c>
      <c r="CF19" s="1">
        <f t="shared" si="3"/>
        <v>1986204.6735696504</v>
      </c>
      <c r="CG19" s="26" t="s">
        <v>15</v>
      </c>
      <c r="CH19" s="10" t="s">
        <v>157</v>
      </c>
      <c r="CI19" s="1">
        <v>3377576</v>
      </c>
      <c r="CJ19" s="102">
        <v>2789.576</v>
      </c>
      <c r="CK19" s="1">
        <v>18107.03</v>
      </c>
      <c r="CL19" s="1">
        <f aca="true" t="shared" si="57" ref="CL19:CL82">CJ19+CK19</f>
        <v>20896.606</v>
      </c>
      <c r="CM19" s="1">
        <v>2949.48152301103</v>
      </c>
      <c r="CN19" s="1">
        <v>17479.5844864052</v>
      </c>
      <c r="CO19" s="1">
        <f aca="true" t="shared" si="58" ref="CO19:CO82">CM19+CN19</f>
        <v>20429.06600941623</v>
      </c>
      <c r="CP19" s="1">
        <f t="shared" si="4"/>
        <v>6733.42015670359</v>
      </c>
      <c r="CQ19" s="1">
        <f t="shared" si="5"/>
        <v>3564.872018643132</v>
      </c>
      <c r="CR19" s="1">
        <f t="shared" si="6"/>
        <v>9307.482473890035</v>
      </c>
      <c r="CS19" s="1">
        <f t="shared" si="7"/>
        <v>1397.678264423712</v>
      </c>
      <c r="CT19" s="1">
        <f t="shared" si="8"/>
        <v>171.58491718296645</v>
      </c>
      <c r="CU19" s="1">
        <f t="shared" si="9"/>
        <v>2719.05231525652</v>
      </c>
    </row>
    <row r="20" spans="1:99" ht="12.75">
      <c r="A20" t="s">
        <v>16</v>
      </c>
      <c r="B20" s="1">
        <v>1506408</v>
      </c>
      <c r="C20" s="10" t="s">
        <v>14</v>
      </c>
      <c r="D20" s="114">
        <v>18.3</v>
      </c>
      <c r="E20" s="108">
        <v>7.9</v>
      </c>
      <c r="F20" s="108">
        <v>45.1</v>
      </c>
      <c r="G20" s="118">
        <v>94</v>
      </c>
      <c r="H20" s="114">
        <v>17</v>
      </c>
      <c r="I20" s="1">
        <f t="shared" si="10"/>
        <v>275672.66400000005</v>
      </c>
      <c r="J20" s="1">
        <f t="shared" si="11"/>
        <v>119006.23200000002</v>
      </c>
      <c r="K20" s="1">
        <f t="shared" si="12"/>
        <v>679390.0079999999</v>
      </c>
      <c r="L20" s="1">
        <f t="shared" si="13"/>
        <v>1416023.52</v>
      </c>
      <c r="M20" s="1">
        <f t="shared" si="14"/>
        <v>256089.36</v>
      </c>
      <c r="N20" s="12">
        <f aca="true" t="shared" si="59" ref="N20:N83">((D20/100)-0.2189)*0.8</f>
        <v>-0.028720000000000013</v>
      </c>
      <c r="O20" s="12">
        <f aca="true" t="shared" si="60" ref="O20:O83">((E20/100)-0.0881)*0.4</f>
        <v>-0.003639999999999999</v>
      </c>
      <c r="P20" s="12">
        <f aca="true" t="shared" si="61" ref="P20:P83">((F20/100)-0.5257)*0.3</f>
        <v>-0.02240999999999998</v>
      </c>
      <c r="Q20" s="12">
        <f aca="true" t="shared" si="62" ref="Q20:Q83">((G20/100)-0.5218)*0.8</f>
        <v>0.33455999999999997</v>
      </c>
      <c r="R20" s="12">
        <f aca="true" t="shared" si="63" ref="R20:R83">((H20/100)-0.1258)*0.99</f>
        <v>0.04375800000000002</v>
      </c>
      <c r="S20" s="1">
        <f t="shared" si="15"/>
        <v>438636.72502848005</v>
      </c>
      <c r="T20" s="2">
        <f t="shared" si="16"/>
        <v>0.29118056000000003</v>
      </c>
      <c r="U20" s="1">
        <f t="shared" si="17"/>
        <v>50443.22337827521</v>
      </c>
      <c r="V20" s="1">
        <f t="shared" si="18"/>
        <v>30704.570751993608</v>
      </c>
      <c r="W20" s="1">
        <f t="shared" si="19"/>
        <v>15352.285375996804</v>
      </c>
      <c r="X20" s="1">
        <f t="shared" si="20"/>
        <v>71178.77765234881</v>
      </c>
      <c r="Y20" s="1">
        <f t="shared" si="21"/>
        <v>5895.277584382771</v>
      </c>
      <c r="Z20" s="1">
        <f t="shared" si="22"/>
        <v>2947.6387921913856</v>
      </c>
      <c r="AA20" s="1">
        <f t="shared" si="23"/>
        <v>13666.32530925097</v>
      </c>
      <c r="AB20" s="1">
        <f t="shared" si="24"/>
        <v>122302.93749247295</v>
      </c>
      <c r="AC20" s="1">
        <f t="shared" si="25"/>
        <v>61151.468746236475</v>
      </c>
      <c r="AD20" s="1">
        <f t="shared" si="26"/>
        <v>283520.4460052782</v>
      </c>
      <c r="AE20" s="1">
        <f t="shared" si="27"/>
        <v>72389.42936881114</v>
      </c>
      <c r="AF20" s="1">
        <f t="shared" si="28"/>
        <v>36194.71468440557</v>
      </c>
      <c r="AG20" s="1">
        <f t="shared" si="29"/>
        <v>167811.8589913349</v>
      </c>
      <c r="AP20" s="26" t="s">
        <v>16</v>
      </c>
      <c r="AQ20" s="10" t="s">
        <v>157</v>
      </c>
      <c r="AR20" s="1">
        <v>1506408</v>
      </c>
      <c r="AS20" s="1">
        <v>438636.72502848005</v>
      </c>
      <c r="AT20" s="1">
        <v>219318.36251424003</v>
      </c>
      <c r="AU20" s="1">
        <v>1016839.6807478401</v>
      </c>
      <c r="AV20" s="1">
        <v>50443.22337827521</v>
      </c>
      <c r="AW20" s="1">
        <v>35090.9380022784</v>
      </c>
      <c r="AX20" s="1">
        <v>144750.11925939843</v>
      </c>
      <c r="AY20" s="1">
        <f t="shared" si="30"/>
        <v>9231.109878224363</v>
      </c>
      <c r="AZ20" s="1">
        <f t="shared" si="31"/>
        <v>5396.137590414833</v>
      </c>
      <c r="BA20" s="1">
        <f t="shared" si="32"/>
        <v>12742.62407590091</v>
      </c>
      <c r="BB20" s="1">
        <f t="shared" si="33"/>
        <v>2925.7069559399624</v>
      </c>
      <c r="BC20" s="1">
        <f t="shared" si="34"/>
        <v>0</v>
      </c>
      <c r="BD20" s="1">
        <f t="shared" si="35"/>
        <v>7007.360730171803</v>
      </c>
      <c r="BE20" s="1">
        <f t="shared" si="36"/>
        <v>6557.619039175777</v>
      </c>
      <c r="BF20" s="1">
        <f t="shared" si="37"/>
        <v>4216.549042190025</v>
      </c>
      <c r="BG20" s="1">
        <f t="shared" si="38"/>
        <v>10151.194272644103</v>
      </c>
      <c r="BH20" s="1">
        <f t="shared" si="39"/>
        <v>2017.7289351310085</v>
      </c>
      <c r="BI20" s="1">
        <f t="shared" si="40"/>
        <v>1008.8644675655042</v>
      </c>
      <c r="BJ20" s="1">
        <f t="shared" si="41"/>
        <v>3603.663878143981</v>
      </c>
      <c r="BK20" s="1"/>
      <c r="BL20" s="2">
        <v>0.83</v>
      </c>
      <c r="BM20" s="2">
        <v>0</v>
      </c>
      <c r="BO20" s="1">
        <f t="shared" si="42"/>
        <v>9231.109878224363</v>
      </c>
      <c r="BP20" s="1">
        <f t="shared" si="43"/>
        <v>5396.137590414833</v>
      </c>
      <c r="BQ20" s="1">
        <f t="shared" si="44"/>
        <v>12742.62407590091</v>
      </c>
      <c r="BR20" s="1">
        <f t="shared" si="45"/>
        <v>983.0375371958273</v>
      </c>
      <c r="BS20" s="1">
        <f t="shared" si="46"/>
        <v>0</v>
      </c>
      <c r="BT20" s="1">
        <f t="shared" si="47"/>
        <v>2354.4732053377265</v>
      </c>
      <c r="BU20" s="1">
        <f t="shared" si="48"/>
        <v>6557.619039175777</v>
      </c>
      <c r="BV20" s="1">
        <f t="shared" si="49"/>
        <v>4216.549042190025</v>
      </c>
      <c r="BW20" s="1">
        <f t="shared" si="50"/>
        <v>10151.194272644103</v>
      </c>
      <c r="BX20" s="1">
        <f t="shared" si="51"/>
        <v>2017.7289351310085</v>
      </c>
      <c r="BY20" s="1">
        <f t="shared" si="52"/>
        <v>1008.8644675655042</v>
      </c>
      <c r="BZ20" s="1">
        <f t="shared" si="53"/>
        <v>3603.663878143981</v>
      </c>
      <c r="CA20" s="1">
        <f t="shared" si="54"/>
        <v>48500.55395953108</v>
      </c>
      <c r="CB20" s="1">
        <f t="shared" si="55"/>
        <v>35090.9380022784</v>
      </c>
      <c r="CC20" s="1">
        <f t="shared" si="56"/>
        <v>140097.23173456435</v>
      </c>
      <c r="CD20" s="1">
        <f t="shared" si="1"/>
        <v>424073.9857575345</v>
      </c>
      <c r="CE20" s="1">
        <f t="shared" si="2"/>
        <v>212036.99287876725</v>
      </c>
      <c r="CF20" s="1">
        <f t="shared" si="3"/>
        <v>983080.6033470118</v>
      </c>
      <c r="CG20" s="26" t="s">
        <v>16</v>
      </c>
      <c r="CH20" s="10" t="s">
        <v>157</v>
      </c>
      <c r="CI20" s="1">
        <v>1506408</v>
      </c>
      <c r="CJ20" s="102">
        <v>2055.65</v>
      </c>
      <c r="CK20" s="1">
        <v>4688.285</v>
      </c>
      <c r="CL20" s="1">
        <f t="shared" si="57"/>
        <v>6743.9349999999995</v>
      </c>
      <c r="CM20" s="1">
        <v>2028.29554936163</v>
      </c>
      <c r="CN20" s="1">
        <v>4252.6767105338</v>
      </c>
      <c r="CO20" s="1">
        <f t="shared" si="58"/>
        <v>6280.97225989543</v>
      </c>
      <c r="CP20" s="1">
        <f t="shared" si="4"/>
        <v>2070.2084568615337</v>
      </c>
      <c r="CQ20" s="1">
        <f t="shared" si="5"/>
        <v>1096.0296593517526</v>
      </c>
      <c r="CR20" s="1">
        <f t="shared" si="6"/>
        <v>2861.610961608358</v>
      </c>
      <c r="CS20" s="1">
        <f t="shared" si="7"/>
        <v>522.4207110952183</v>
      </c>
      <c r="CT20" s="1">
        <f t="shared" si="8"/>
        <v>65.03848545677859</v>
      </c>
      <c r="CU20" s="1">
        <f t="shared" si="9"/>
        <v>1001.3228456108068</v>
      </c>
    </row>
    <row r="21" spans="1:99" ht="12.75">
      <c r="A21" t="s">
        <v>17</v>
      </c>
      <c r="B21" s="1">
        <v>2955148</v>
      </c>
      <c r="C21" s="10" t="s">
        <v>14</v>
      </c>
      <c r="D21" s="114">
        <v>33.1</v>
      </c>
      <c r="E21" s="108">
        <v>4.9</v>
      </c>
      <c r="F21" s="30">
        <v>79.6</v>
      </c>
      <c r="G21" s="109">
        <v>94.1</v>
      </c>
      <c r="H21" s="113">
        <v>30.9</v>
      </c>
      <c r="I21" s="1">
        <f t="shared" si="10"/>
        <v>978153.988</v>
      </c>
      <c r="J21" s="1">
        <f t="shared" si="11"/>
        <v>144802.252</v>
      </c>
      <c r="K21" s="1">
        <f t="shared" si="12"/>
        <v>2352297.8079999997</v>
      </c>
      <c r="L21" s="1">
        <f t="shared" si="13"/>
        <v>2780794.268</v>
      </c>
      <c r="M21" s="1">
        <f t="shared" si="14"/>
        <v>913140.7320000001</v>
      </c>
      <c r="N21" s="12">
        <f t="shared" si="59"/>
        <v>0.08968000000000001</v>
      </c>
      <c r="O21" s="12">
        <f t="shared" si="60"/>
        <v>-0.015639999999999998</v>
      </c>
      <c r="P21" s="12">
        <f t="shared" si="61"/>
        <v>0.08109</v>
      </c>
      <c r="Q21" s="12">
        <f t="shared" si="62"/>
        <v>0.33535999999999994</v>
      </c>
      <c r="R21" s="12">
        <f t="shared" si="63"/>
        <v>0.181368</v>
      </c>
      <c r="S21" s="1">
        <f t="shared" si="15"/>
        <v>1086929.3214964797</v>
      </c>
      <c r="T21" s="2">
        <f t="shared" si="16"/>
        <v>0.3678087599999999</v>
      </c>
      <c r="U21" s="1">
        <f t="shared" si="17"/>
        <v>124996.87197209516</v>
      </c>
      <c r="V21" s="1">
        <f t="shared" si="18"/>
        <v>76085.05250475358</v>
      </c>
      <c r="W21" s="1">
        <f t="shared" si="19"/>
        <v>38042.52625237679</v>
      </c>
      <c r="X21" s="1">
        <f t="shared" si="20"/>
        <v>176378.98535192877</v>
      </c>
      <c r="Y21" s="1">
        <f t="shared" si="21"/>
        <v>11825.791017881696</v>
      </c>
      <c r="Z21" s="1">
        <f t="shared" si="22"/>
        <v>5912.895508940848</v>
      </c>
      <c r="AA21" s="1">
        <f t="shared" si="23"/>
        <v>27414.333723271207</v>
      </c>
      <c r="AB21" s="1">
        <f t="shared" si="24"/>
        <v>302060.09316555184</v>
      </c>
      <c r="AC21" s="1">
        <f t="shared" si="25"/>
        <v>151030.04658277592</v>
      </c>
      <c r="AD21" s="1">
        <f t="shared" si="26"/>
        <v>700230.2159746884</v>
      </c>
      <c r="AE21" s="1">
        <f t="shared" si="27"/>
        <v>178785.22157891712</v>
      </c>
      <c r="AF21" s="1">
        <f t="shared" si="28"/>
        <v>89392.61078945856</v>
      </c>
      <c r="AG21" s="1">
        <f t="shared" si="29"/>
        <v>414456.6500238534</v>
      </c>
      <c r="AH21" s="259"/>
      <c r="AI21" s="259"/>
      <c r="AJ21" s="225" t="s">
        <v>466</v>
      </c>
      <c r="AK21" s="189"/>
      <c r="AL21" s="189"/>
      <c r="AM21" s="197"/>
      <c r="AN21" s="33"/>
      <c r="AP21" s="26" t="s">
        <v>17</v>
      </c>
      <c r="AQ21" s="10" t="s">
        <v>157</v>
      </c>
      <c r="AR21" s="1">
        <v>2955148</v>
      </c>
      <c r="AS21" s="1">
        <v>1086929.3214964797</v>
      </c>
      <c r="AT21" s="1">
        <v>543464.6607482398</v>
      </c>
      <c r="AU21" s="1">
        <v>2519699.7907418394</v>
      </c>
      <c r="AV21" s="1">
        <v>124996.87197209516</v>
      </c>
      <c r="AW21" s="1">
        <v>86954.34571971837</v>
      </c>
      <c r="AX21" s="1">
        <v>358686.6760938383</v>
      </c>
      <c r="AY21" s="1">
        <f t="shared" si="30"/>
        <v>22874.427570893415</v>
      </c>
      <c r="AZ21" s="1">
        <f t="shared" si="31"/>
        <v>13371.475380841453</v>
      </c>
      <c r="BA21" s="1">
        <f t="shared" si="32"/>
        <v>31575.85981886127</v>
      </c>
      <c r="BB21" s="1">
        <f t="shared" si="33"/>
        <v>7249.81857438152</v>
      </c>
      <c r="BC21" s="1">
        <f t="shared" si="34"/>
        <v>0</v>
      </c>
      <c r="BD21" s="1">
        <f t="shared" si="35"/>
        <v>17364.040467501178</v>
      </c>
      <c r="BE21" s="1">
        <f t="shared" si="36"/>
        <v>16249.593356372372</v>
      </c>
      <c r="BF21" s="1">
        <f t="shared" si="37"/>
        <v>10448.488528147436</v>
      </c>
      <c r="BG21" s="1">
        <f t="shared" si="38"/>
        <v>25154.370515664432</v>
      </c>
      <c r="BH21" s="1">
        <f t="shared" si="39"/>
        <v>4999.874878883807</v>
      </c>
      <c r="BI21" s="1">
        <f t="shared" si="40"/>
        <v>2499.9374394419033</v>
      </c>
      <c r="BJ21" s="1">
        <f t="shared" si="41"/>
        <v>8929.77653368648</v>
      </c>
      <c r="BK21" s="1"/>
      <c r="BL21" s="2">
        <v>0.91</v>
      </c>
      <c r="BM21" s="2">
        <v>0</v>
      </c>
      <c r="BO21" s="1">
        <f t="shared" si="42"/>
        <v>22874.427570893415</v>
      </c>
      <c r="BP21" s="1">
        <f t="shared" si="43"/>
        <v>13371.475380841453</v>
      </c>
      <c r="BQ21" s="1">
        <f t="shared" si="44"/>
        <v>31575.85981886127</v>
      </c>
      <c r="BR21" s="1">
        <f t="shared" si="45"/>
        <v>1971.9506522317724</v>
      </c>
      <c r="BS21" s="1">
        <f t="shared" si="46"/>
        <v>0</v>
      </c>
      <c r="BT21" s="1">
        <f t="shared" si="47"/>
        <v>4723.019007160319</v>
      </c>
      <c r="BU21" s="1">
        <f t="shared" si="48"/>
        <v>16249.593356372372</v>
      </c>
      <c r="BV21" s="1">
        <f t="shared" si="49"/>
        <v>10448.488528147436</v>
      </c>
      <c r="BW21" s="1">
        <f t="shared" si="50"/>
        <v>25154.370515664432</v>
      </c>
      <c r="BX21" s="1">
        <f t="shared" si="51"/>
        <v>4999.874878883807</v>
      </c>
      <c r="BY21" s="1">
        <f t="shared" si="52"/>
        <v>2499.9374394419033</v>
      </c>
      <c r="BZ21" s="1">
        <f t="shared" si="53"/>
        <v>8929.77653368648</v>
      </c>
      <c r="CA21" s="1">
        <f t="shared" si="54"/>
        <v>119719.00404994542</v>
      </c>
      <c r="CB21" s="1">
        <f t="shared" si="55"/>
        <v>86954.34571971837</v>
      </c>
      <c r="CC21" s="1">
        <f t="shared" si="56"/>
        <v>346045.6546334974</v>
      </c>
      <c r="CD21" s="1">
        <f t="shared" si="1"/>
        <v>1047365.0941940078</v>
      </c>
      <c r="CE21" s="1">
        <f t="shared" si="2"/>
        <v>523682.5470970039</v>
      </c>
      <c r="CF21" s="1">
        <f t="shared" si="3"/>
        <v>2427982.7183588366</v>
      </c>
      <c r="CG21" s="26" t="s">
        <v>17</v>
      </c>
      <c r="CH21" s="10" t="s">
        <v>157</v>
      </c>
      <c r="CI21" s="1">
        <v>2955148</v>
      </c>
      <c r="CJ21" s="102">
        <v>5221.978</v>
      </c>
      <c r="CK21" s="1">
        <v>16541.82</v>
      </c>
      <c r="CL21" s="1">
        <f t="shared" si="57"/>
        <v>21763.798</v>
      </c>
      <c r="CM21" s="1">
        <v>4848.92431649507</v>
      </c>
      <c r="CN21" s="1">
        <v>13084.1244316797</v>
      </c>
      <c r="CO21" s="1">
        <f t="shared" si="58"/>
        <v>17933.04874817477</v>
      </c>
      <c r="CP21" s="1">
        <f t="shared" si="4"/>
        <v>5910.732867398404</v>
      </c>
      <c r="CQ21" s="1">
        <f t="shared" si="5"/>
        <v>3129.3170065564973</v>
      </c>
      <c r="CR21" s="1">
        <f t="shared" si="6"/>
        <v>8170.297009668425</v>
      </c>
      <c r="CS21" s="1">
        <f t="shared" si="7"/>
        <v>1226.9103462009405</v>
      </c>
      <c r="CT21" s="1">
        <f t="shared" si="8"/>
        <v>150.62072259570695</v>
      </c>
      <c r="CU21" s="1">
        <f t="shared" si="9"/>
        <v>2386.8393051281746</v>
      </c>
    </row>
    <row r="22" spans="1:108" ht="12.75">
      <c r="A22" t="s">
        <v>18</v>
      </c>
      <c r="B22" s="1">
        <v>3054802</v>
      </c>
      <c r="C22" s="10" t="s">
        <v>14</v>
      </c>
      <c r="D22" s="114">
        <v>15.3</v>
      </c>
      <c r="E22" s="108">
        <v>5.7</v>
      </c>
      <c r="F22" s="30">
        <v>69.1</v>
      </c>
      <c r="G22" s="118">
        <v>73</v>
      </c>
      <c r="H22" s="113">
        <v>18.4</v>
      </c>
      <c r="I22" s="1">
        <f t="shared" si="10"/>
        <v>467384.706</v>
      </c>
      <c r="J22" s="1">
        <f t="shared" si="11"/>
        <v>174123.71400000004</v>
      </c>
      <c r="K22" s="1">
        <f t="shared" si="12"/>
        <v>2110868.182</v>
      </c>
      <c r="L22" s="1">
        <f t="shared" si="13"/>
        <v>2230005.46</v>
      </c>
      <c r="M22" s="1">
        <f t="shared" si="14"/>
        <v>562083.568</v>
      </c>
      <c r="N22" s="12">
        <f t="shared" si="59"/>
        <v>-0.05272000000000002</v>
      </c>
      <c r="O22" s="12">
        <f t="shared" si="60"/>
        <v>-0.01244</v>
      </c>
      <c r="P22" s="12">
        <f t="shared" si="61"/>
        <v>0.04959</v>
      </c>
      <c r="Q22" s="12">
        <f t="shared" si="62"/>
        <v>0.16655999999999996</v>
      </c>
      <c r="R22" s="12">
        <f t="shared" si="63"/>
        <v>0.057618</v>
      </c>
      <c r="S22" s="1">
        <f t="shared" si="15"/>
        <v>812252.78983552</v>
      </c>
      <c r="T22" s="2">
        <f t="shared" si="16"/>
        <v>0.26589376</v>
      </c>
      <c r="U22" s="1">
        <f t="shared" si="17"/>
        <v>93409.0708310848</v>
      </c>
      <c r="V22" s="1">
        <f t="shared" si="18"/>
        <v>56857.6952884864</v>
      </c>
      <c r="W22" s="1">
        <f t="shared" si="19"/>
        <v>28428.8476442432</v>
      </c>
      <c r="X22" s="1">
        <f t="shared" si="20"/>
        <v>131806.4754414912</v>
      </c>
      <c r="Y22" s="1">
        <f t="shared" si="21"/>
        <v>14815.490886599884</v>
      </c>
      <c r="Z22" s="1">
        <f t="shared" si="22"/>
        <v>7407.745443299942</v>
      </c>
      <c r="AA22" s="1">
        <f t="shared" si="23"/>
        <v>34345.00160075427</v>
      </c>
      <c r="AB22" s="1">
        <f t="shared" si="24"/>
        <v>227882.003823755</v>
      </c>
      <c r="AC22" s="1">
        <f t="shared" si="25"/>
        <v>113941.0019118775</v>
      </c>
      <c r="AD22" s="1">
        <f t="shared" si="26"/>
        <v>528271.9179550684</v>
      </c>
      <c r="AE22" s="1">
        <f t="shared" si="27"/>
        <v>134880.22903160533</v>
      </c>
      <c r="AF22" s="1">
        <f t="shared" si="28"/>
        <v>67440.11451580266</v>
      </c>
      <c r="AG22" s="1">
        <f t="shared" si="29"/>
        <v>312676.8945732669</v>
      </c>
      <c r="AH22" s="259"/>
      <c r="AI22" s="259"/>
      <c r="AJ22" s="195" t="s">
        <v>467</v>
      </c>
      <c r="AK22" s="191"/>
      <c r="AL22" s="191"/>
      <c r="AM22" s="198"/>
      <c r="AN22" s="33"/>
      <c r="AP22" s="26" t="s">
        <v>18</v>
      </c>
      <c r="AQ22" s="10" t="s">
        <v>157</v>
      </c>
      <c r="AR22" s="1">
        <v>3054802</v>
      </c>
      <c r="AS22" s="1">
        <v>812252.78983552</v>
      </c>
      <c r="AT22" s="1">
        <v>406126.39491776</v>
      </c>
      <c r="AU22" s="1">
        <v>1882949.6491641598</v>
      </c>
      <c r="AV22" s="1">
        <v>93409.0708310848</v>
      </c>
      <c r="AW22" s="1">
        <v>64980.2231868416</v>
      </c>
      <c r="AX22" s="1">
        <v>268043.4206457216</v>
      </c>
      <c r="AY22" s="1">
        <f t="shared" si="30"/>
        <v>17093.859962088518</v>
      </c>
      <c r="AZ22" s="1">
        <f t="shared" si="31"/>
        <v>9992.386779438464</v>
      </c>
      <c r="BA22" s="1">
        <f t="shared" si="32"/>
        <v>23596.364291666992</v>
      </c>
      <c r="BB22" s="1">
        <f t="shared" si="33"/>
        <v>5417.726108202919</v>
      </c>
      <c r="BC22" s="1">
        <f t="shared" si="34"/>
        <v>0</v>
      </c>
      <c r="BD22" s="1">
        <f t="shared" si="35"/>
        <v>12975.99580175681</v>
      </c>
      <c r="BE22" s="1">
        <f t="shared" si="36"/>
        <v>12143.179208041025</v>
      </c>
      <c r="BF22" s="1">
        <f t="shared" si="37"/>
        <v>7808.064230770379</v>
      </c>
      <c r="BG22" s="1">
        <f t="shared" si="38"/>
        <v>18797.641414047506</v>
      </c>
      <c r="BH22" s="1">
        <f t="shared" si="39"/>
        <v>3736.362833243392</v>
      </c>
      <c r="BI22" s="1">
        <f t="shared" si="40"/>
        <v>1868.181416621696</v>
      </c>
      <c r="BJ22" s="1">
        <f t="shared" si="41"/>
        <v>6673.144020172698</v>
      </c>
      <c r="BK22" s="1"/>
      <c r="BL22" s="2">
        <v>0.68</v>
      </c>
      <c r="BM22" s="2">
        <v>0</v>
      </c>
      <c r="BO22" s="1">
        <f t="shared" si="42"/>
        <v>17093.859962088518</v>
      </c>
      <c r="BP22" s="1">
        <f t="shared" si="43"/>
        <v>9992.386779438464</v>
      </c>
      <c r="BQ22" s="1">
        <f t="shared" si="44"/>
        <v>23596.364291666992</v>
      </c>
      <c r="BR22" s="1">
        <f t="shared" si="45"/>
        <v>2470.4831053405305</v>
      </c>
      <c r="BS22" s="1">
        <f t="shared" si="46"/>
        <v>0</v>
      </c>
      <c r="BT22" s="1">
        <f t="shared" si="47"/>
        <v>5917.054085601104</v>
      </c>
      <c r="BU22" s="1">
        <f t="shared" si="48"/>
        <v>12143.179208041025</v>
      </c>
      <c r="BV22" s="1">
        <f t="shared" si="49"/>
        <v>7808.064230770379</v>
      </c>
      <c r="BW22" s="1">
        <f t="shared" si="50"/>
        <v>18797.641414047506</v>
      </c>
      <c r="BX22" s="1">
        <f t="shared" si="51"/>
        <v>3736.362833243392</v>
      </c>
      <c r="BY22" s="1">
        <f t="shared" si="52"/>
        <v>1868.181416621696</v>
      </c>
      <c r="BZ22" s="1">
        <f t="shared" si="53"/>
        <v>6673.144020172698</v>
      </c>
      <c r="CA22" s="1">
        <f t="shared" si="54"/>
        <v>90461.8278282224</v>
      </c>
      <c r="CB22" s="1">
        <f t="shared" si="55"/>
        <v>64980.2231868416</v>
      </c>
      <c r="CC22" s="1">
        <f t="shared" si="56"/>
        <v>260984.4789295659</v>
      </c>
      <c r="CD22" s="1">
        <f t="shared" si="1"/>
        <v>790159.5139519938</v>
      </c>
      <c r="CE22" s="1">
        <f t="shared" si="2"/>
        <v>395079.7569759969</v>
      </c>
      <c r="CF22" s="1">
        <f t="shared" si="3"/>
        <v>1831733.4187068946</v>
      </c>
      <c r="CG22" s="26" t="s">
        <v>18</v>
      </c>
      <c r="CH22" s="10" t="s">
        <v>157</v>
      </c>
      <c r="CI22" s="1">
        <v>3054802</v>
      </c>
      <c r="CJ22" s="102">
        <v>2013.055</v>
      </c>
      <c r="CK22" s="1">
        <v>12350.64</v>
      </c>
      <c r="CL22" s="1">
        <f t="shared" si="57"/>
        <v>14363.695</v>
      </c>
      <c r="CM22" s="1">
        <v>2021.51143772317</v>
      </c>
      <c r="CN22" s="1">
        <v>11319.9587850128</v>
      </c>
      <c r="CO22" s="1">
        <f t="shared" si="58"/>
        <v>13341.470222735968</v>
      </c>
      <c r="CP22" s="1">
        <f t="shared" si="4"/>
        <v>4397.348585413775</v>
      </c>
      <c r="CQ22" s="1">
        <f t="shared" si="5"/>
        <v>2328.0865538674266</v>
      </c>
      <c r="CR22" s="1">
        <f t="shared" si="6"/>
        <v>6078.373833478508</v>
      </c>
      <c r="CS22" s="1">
        <f t="shared" si="7"/>
        <v>1462.54680933028</v>
      </c>
      <c r="CT22" s="1">
        <f t="shared" si="8"/>
        <v>186.7969037028957</v>
      </c>
      <c r="CU22" s="1">
        <f t="shared" si="9"/>
        <v>2731.03768864864</v>
      </c>
      <c r="CW22" s="225" t="s">
        <v>601</v>
      </c>
      <c r="CX22" s="189"/>
      <c r="CY22" s="189"/>
      <c r="CZ22" s="232"/>
      <c r="DA22" s="189"/>
      <c r="DB22" s="189"/>
      <c r="DC22" s="232"/>
      <c r="DD22" s="184"/>
    </row>
    <row r="23" spans="1:108" ht="12.75">
      <c r="A23" t="s">
        <v>19</v>
      </c>
      <c r="B23" s="1">
        <v>50634</v>
      </c>
      <c r="C23" s="10" t="s">
        <v>14</v>
      </c>
      <c r="D23" s="107">
        <v>18.2</v>
      </c>
      <c r="E23" s="113">
        <v>6</v>
      </c>
      <c r="F23" s="29">
        <v>42.7</v>
      </c>
      <c r="G23" s="113">
        <v>35</v>
      </c>
      <c r="H23" s="107">
        <v>22.1</v>
      </c>
      <c r="I23" s="1">
        <f t="shared" si="10"/>
        <v>9215.387999999999</v>
      </c>
      <c r="J23" s="1">
        <f t="shared" si="11"/>
        <v>3038.04</v>
      </c>
      <c r="K23" s="1">
        <f t="shared" si="12"/>
        <v>21620.718000000004</v>
      </c>
      <c r="L23" s="1">
        <f t="shared" si="13"/>
        <v>17721.9</v>
      </c>
      <c r="M23" s="1">
        <f t="shared" si="14"/>
        <v>11190.114000000001</v>
      </c>
      <c r="N23" s="12">
        <f t="shared" si="59"/>
        <v>-0.029520000000000015</v>
      </c>
      <c r="O23" s="12">
        <f t="shared" si="60"/>
        <v>-0.01124</v>
      </c>
      <c r="P23" s="12">
        <f t="shared" si="61"/>
        <v>-0.02960999999999997</v>
      </c>
      <c r="Q23" s="12">
        <f t="shared" si="62"/>
        <v>-0.13744000000000006</v>
      </c>
      <c r="R23" s="12">
        <f t="shared" si="63"/>
        <v>0.09424800000000001</v>
      </c>
      <c r="S23" s="1">
        <f t="shared" si="15"/>
        <v>9874.45837224</v>
      </c>
      <c r="T23" s="2">
        <f t="shared" si="16"/>
        <v>0.19501636</v>
      </c>
      <c r="U23" s="1">
        <f t="shared" si="17"/>
        <v>1135.5627128076</v>
      </c>
      <c r="V23" s="1">
        <f t="shared" si="18"/>
        <v>691.2120860568001</v>
      </c>
      <c r="W23" s="1">
        <f t="shared" si="19"/>
        <v>345.60604302840005</v>
      </c>
      <c r="X23" s="1">
        <f t="shared" si="20"/>
        <v>1602.3552904044002</v>
      </c>
      <c r="Y23" s="1">
        <f t="shared" si="21"/>
        <v>394.97833488960003</v>
      </c>
      <c r="Z23" s="1">
        <f t="shared" si="22"/>
        <v>197.48916744480002</v>
      </c>
      <c r="AA23" s="1">
        <f t="shared" si="23"/>
        <v>915.6315945168</v>
      </c>
      <c r="AB23" s="1">
        <f t="shared" si="24"/>
        <v>2847.793794554016</v>
      </c>
      <c r="AC23" s="1">
        <f t="shared" si="25"/>
        <v>1423.896897277008</v>
      </c>
      <c r="AD23" s="1">
        <f t="shared" si="26"/>
        <v>6601.703796466128</v>
      </c>
      <c r="AE23" s="1">
        <f t="shared" si="27"/>
        <v>1685.570044141368</v>
      </c>
      <c r="AF23" s="1">
        <f t="shared" si="28"/>
        <v>842.785022070684</v>
      </c>
      <c r="AG23" s="1">
        <f t="shared" si="29"/>
        <v>3907.457829600444</v>
      </c>
      <c r="AH23" s="259"/>
      <c r="AI23" s="259"/>
      <c r="AJ23" s="195" t="s">
        <v>468</v>
      </c>
      <c r="AK23" s="191"/>
      <c r="AL23" s="191"/>
      <c r="AM23" s="198"/>
      <c r="AN23" s="33"/>
      <c r="AP23" t="s">
        <v>19</v>
      </c>
      <c r="AQ23" s="10" t="s">
        <v>157</v>
      </c>
      <c r="AR23" s="1">
        <v>50634</v>
      </c>
      <c r="AS23" s="1">
        <v>9874.45837224</v>
      </c>
      <c r="AT23" s="1">
        <v>4937.22918612</v>
      </c>
      <c r="AU23" s="1">
        <v>22890.78986292</v>
      </c>
      <c r="AV23" s="1">
        <v>1135.5627128076</v>
      </c>
      <c r="AW23" s="1">
        <v>789.9566697792001</v>
      </c>
      <c r="AX23" s="1">
        <v>3258.5712628392002</v>
      </c>
      <c r="AY23" s="1">
        <f t="shared" si="30"/>
        <v>207.8079764437908</v>
      </c>
      <c r="AZ23" s="1">
        <f t="shared" si="31"/>
        <v>121.47623070998235</v>
      </c>
      <c r="BA23" s="1">
        <f t="shared" si="32"/>
        <v>286.8581306830088</v>
      </c>
      <c r="BB23" s="1">
        <f t="shared" si="33"/>
        <v>65.86263734284081</v>
      </c>
      <c r="BC23" s="1">
        <f t="shared" si="34"/>
        <v>0</v>
      </c>
      <c r="BD23" s="1">
        <f t="shared" si="35"/>
        <v>157.747602699838</v>
      </c>
      <c r="BE23" s="1">
        <f t="shared" si="36"/>
        <v>147.62315266498803</v>
      </c>
      <c r="BF23" s="1">
        <f t="shared" si="37"/>
        <v>94.92168716358731</v>
      </c>
      <c r="BG23" s="1">
        <f t="shared" si="38"/>
        <v>228.52064032540147</v>
      </c>
      <c r="BH23" s="1">
        <f t="shared" si="39"/>
        <v>45.422508512304006</v>
      </c>
      <c r="BI23" s="1">
        <f t="shared" si="40"/>
        <v>22.711254256152003</v>
      </c>
      <c r="BJ23" s="1">
        <f t="shared" si="41"/>
        <v>81.12460020297496</v>
      </c>
      <c r="BK23" s="1"/>
      <c r="BL23" s="2">
        <v>0</v>
      </c>
      <c r="BM23" s="2">
        <v>0</v>
      </c>
      <c r="BO23" s="1">
        <f t="shared" si="42"/>
        <v>207.8079764437908</v>
      </c>
      <c r="BP23" s="1">
        <f t="shared" si="43"/>
        <v>121.47623070998235</v>
      </c>
      <c r="BQ23" s="1">
        <f t="shared" si="44"/>
        <v>286.8581306830088</v>
      </c>
      <c r="BR23" s="1">
        <f t="shared" si="45"/>
        <v>65.86263734284081</v>
      </c>
      <c r="BS23" s="1">
        <f t="shared" si="46"/>
        <v>0</v>
      </c>
      <c r="BT23" s="1">
        <f t="shared" si="47"/>
        <v>157.747602699838</v>
      </c>
      <c r="BU23" s="1">
        <f t="shared" si="48"/>
        <v>147.62315266498803</v>
      </c>
      <c r="BV23" s="1">
        <f t="shared" si="49"/>
        <v>94.92168716358731</v>
      </c>
      <c r="BW23" s="1">
        <f t="shared" si="50"/>
        <v>228.52064032540147</v>
      </c>
      <c r="BX23" s="1">
        <f t="shared" si="51"/>
        <v>45.422508512304006</v>
      </c>
      <c r="BY23" s="1">
        <f t="shared" si="52"/>
        <v>22.711254256152003</v>
      </c>
      <c r="BZ23" s="1">
        <f t="shared" si="53"/>
        <v>81.12460020297496</v>
      </c>
      <c r="CA23" s="1">
        <f t="shared" si="54"/>
        <v>1135.5627128076</v>
      </c>
      <c r="CB23" s="1">
        <f t="shared" si="55"/>
        <v>789.9566697792001</v>
      </c>
      <c r="CC23" s="1">
        <f t="shared" si="56"/>
        <v>3258.5712628392002</v>
      </c>
      <c r="CD23" s="1">
        <f t="shared" si="1"/>
        <v>9874.45837224</v>
      </c>
      <c r="CE23" s="1">
        <f t="shared" si="2"/>
        <v>4937.22918612</v>
      </c>
      <c r="CF23" s="1">
        <f t="shared" si="3"/>
        <v>22890.78986292</v>
      </c>
      <c r="CG23" t="s">
        <v>19</v>
      </c>
      <c r="CH23" s="10" t="s">
        <v>157</v>
      </c>
      <c r="CI23" s="1">
        <v>50634</v>
      </c>
      <c r="CJ23" s="102">
        <v>8.124332</v>
      </c>
      <c r="CK23" s="1">
        <v>64.23923</v>
      </c>
      <c r="CL23" s="1">
        <f t="shared" si="57"/>
        <v>72.363562</v>
      </c>
      <c r="CM23" s="1">
        <v>5.48941351351351</v>
      </c>
      <c r="CN23" s="1">
        <v>33.7009911704294</v>
      </c>
      <c r="CO23" s="1">
        <f t="shared" si="58"/>
        <v>39.19040468394291</v>
      </c>
      <c r="CP23" s="1">
        <f t="shared" si="4"/>
        <v>12.917157383827583</v>
      </c>
      <c r="CQ23" s="1">
        <f t="shared" si="5"/>
        <v>6.838725617348037</v>
      </c>
      <c r="CR23" s="1">
        <f t="shared" si="6"/>
        <v>17.85514837400439</v>
      </c>
      <c r="CS23" s="1">
        <f t="shared" si="7"/>
        <v>8.331880035806263</v>
      </c>
      <c r="CT23" s="1">
        <f t="shared" si="8"/>
        <v>1.183550221455076</v>
      </c>
      <c r="CU23" s="1">
        <f t="shared" si="9"/>
        <v>14.139898009966602</v>
      </c>
      <c r="CW23" s="195" t="s">
        <v>602</v>
      </c>
      <c r="CX23" s="191"/>
      <c r="CY23" s="191"/>
      <c r="CZ23" s="233"/>
      <c r="DA23" s="191"/>
      <c r="DB23" s="191"/>
      <c r="DC23" s="233"/>
      <c r="DD23" s="186"/>
    </row>
    <row r="24" spans="1:108" ht="12.75">
      <c r="A24" t="s">
        <v>20</v>
      </c>
      <c r="B24" s="1">
        <v>2006165</v>
      </c>
      <c r="C24" s="10" t="s">
        <v>14</v>
      </c>
      <c r="D24" s="113">
        <v>32.4</v>
      </c>
      <c r="E24" s="105">
        <v>1.4</v>
      </c>
      <c r="F24" s="105">
        <v>98</v>
      </c>
      <c r="G24" s="113">
        <v>88</v>
      </c>
      <c r="H24" s="29">
        <v>20.8</v>
      </c>
      <c r="I24" s="1">
        <f t="shared" si="10"/>
        <v>649997.46</v>
      </c>
      <c r="J24" s="1">
        <f t="shared" si="11"/>
        <v>28086.31</v>
      </c>
      <c r="K24" s="1">
        <f t="shared" si="12"/>
        <v>1966041.7</v>
      </c>
      <c r="L24" s="1">
        <f t="shared" si="13"/>
        <v>1765425.2</v>
      </c>
      <c r="M24" s="1">
        <f t="shared" si="14"/>
        <v>417282.32</v>
      </c>
      <c r="N24" s="12">
        <f t="shared" si="59"/>
        <v>0.08408</v>
      </c>
      <c r="O24" s="12">
        <f t="shared" si="60"/>
        <v>-0.02964</v>
      </c>
      <c r="P24" s="12">
        <f t="shared" si="61"/>
        <v>0.13629</v>
      </c>
      <c r="Q24" s="12">
        <f t="shared" si="62"/>
        <v>0.28656</v>
      </c>
      <c r="R24" s="12">
        <f t="shared" si="63"/>
        <v>0.08137800000000002</v>
      </c>
      <c r="S24" s="1">
        <f t="shared" si="15"/>
        <v>687927.9414084</v>
      </c>
      <c r="T24" s="2">
        <f t="shared" si="16"/>
        <v>0.34290696</v>
      </c>
      <c r="U24" s="1">
        <f t="shared" si="17"/>
        <v>79111.713261966</v>
      </c>
      <c r="V24" s="1">
        <f t="shared" si="18"/>
        <v>48154.955898588</v>
      </c>
      <c r="W24" s="1">
        <f t="shared" si="19"/>
        <v>24077.477949294</v>
      </c>
      <c r="X24" s="1">
        <f t="shared" si="20"/>
        <v>111631.943219454</v>
      </c>
      <c r="Y24" s="1">
        <f t="shared" si="21"/>
        <v>19812.32471256192</v>
      </c>
      <c r="Z24" s="1">
        <f t="shared" si="22"/>
        <v>9906.16235628096</v>
      </c>
      <c r="AA24" s="1">
        <f t="shared" si="23"/>
        <v>45928.57092457535</v>
      </c>
      <c r="AB24" s="1">
        <f t="shared" si="24"/>
        <v>195620.840445952</v>
      </c>
      <c r="AC24" s="1">
        <f t="shared" si="25"/>
        <v>97810.420222976</v>
      </c>
      <c r="AD24" s="1">
        <f t="shared" si="26"/>
        <v>453484.6755792523</v>
      </c>
      <c r="AE24" s="1">
        <f t="shared" si="27"/>
        <v>115785.28940403607</v>
      </c>
      <c r="AF24" s="1">
        <f t="shared" si="28"/>
        <v>57892.644702018035</v>
      </c>
      <c r="AG24" s="1">
        <f t="shared" si="29"/>
        <v>268411.35270935635</v>
      </c>
      <c r="AH24" s="259"/>
      <c r="AI24" s="259"/>
      <c r="AJ24" s="195" t="s">
        <v>469</v>
      </c>
      <c r="AK24" s="191"/>
      <c r="AL24" s="191"/>
      <c r="AM24" s="198"/>
      <c r="AN24" s="33"/>
      <c r="AP24" t="s">
        <v>20</v>
      </c>
      <c r="AQ24" s="10" t="s">
        <v>157</v>
      </c>
      <c r="AR24" s="1">
        <v>2006165</v>
      </c>
      <c r="AS24" s="1">
        <v>687927.9414084</v>
      </c>
      <c r="AT24" s="1">
        <v>343963.9707042</v>
      </c>
      <c r="AU24" s="1">
        <v>1594742.0459921998</v>
      </c>
      <c r="AV24" s="1">
        <v>79111.713261966</v>
      </c>
      <c r="AW24" s="1">
        <v>55034.235312672</v>
      </c>
      <c r="AX24" s="1">
        <v>227016.220664772</v>
      </c>
      <c r="AY24" s="1">
        <f t="shared" si="30"/>
        <v>14477.443526939776</v>
      </c>
      <c r="AZ24" s="1">
        <f t="shared" si="31"/>
        <v>8462.934388107915</v>
      </c>
      <c r="BA24" s="1">
        <f t="shared" si="32"/>
        <v>19984.66304458767</v>
      </c>
      <c r="BB24" s="1">
        <f t="shared" si="33"/>
        <v>4588.479369194028</v>
      </c>
      <c r="BC24" s="1">
        <f t="shared" si="34"/>
        <v>0</v>
      </c>
      <c r="BD24" s="1">
        <f t="shared" si="35"/>
        <v>10989.866937156614</v>
      </c>
      <c r="BE24" s="1">
        <f t="shared" si="36"/>
        <v>10284.52272405558</v>
      </c>
      <c r="BF24" s="1">
        <f t="shared" si="37"/>
        <v>6612.948111567738</v>
      </c>
      <c r="BG24" s="1">
        <f t="shared" si="38"/>
        <v>15920.441176838038</v>
      </c>
      <c r="BH24" s="1">
        <f t="shared" si="39"/>
        <v>3164.46853047864</v>
      </c>
      <c r="BI24" s="1">
        <f t="shared" si="40"/>
        <v>1582.23426523932</v>
      </c>
      <c r="BJ24" s="1">
        <f t="shared" si="41"/>
        <v>5651.740795434851</v>
      </c>
      <c r="BK24" s="1"/>
      <c r="BL24" s="2">
        <v>0.35</v>
      </c>
      <c r="BM24" s="2">
        <v>0</v>
      </c>
      <c r="BO24" s="1">
        <f t="shared" si="42"/>
        <v>14477.443526939776</v>
      </c>
      <c r="BP24" s="1">
        <f t="shared" si="43"/>
        <v>8462.934388107915</v>
      </c>
      <c r="BQ24" s="1">
        <f t="shared" si="44"/>
        <v>19984.66304458767</v>
      </c>
      <c r="BR24" s="1">
        <f t="shared" si="45"/>
        <v>3303.7051458197</v>
      </c>
      <c r="BS24" s="1">
        <f t="shared" si="46"/>
        <v>0</v>
      </c>
      <c r="BT24" s="1">
        <f t="shared" si="47"/>
        <v>7912.704194752761</v>
      </c>
      <c r="BU24" s="1">
        <f t="shared" si="48"/>
        <v>10284.52272405558</v>
      </c>
      <c r="BV24" s="1">
        <f t="shared" si="49"/>
        <v>6612.948111567738</v>
      </c>
      <c r="BW24" s="1">
        <f t="shared" si="50"/>
        <v>15920.441176838038</v>
      </c>
      <c r="BX24" s="1">
        <f t="shared" si="51"/>
        <v>3164.46853047864</v>
      </c>
      <c r="BY24" s="1">
        <f t="shared" si="52"/>
        <v>1582.23426523932</v>
      </c>
      <c r="BZ24" s="1">
        <f t="shared" si="53"/>
        <v>5651.740795434851</v>
      </c>
      <c r="CA24" s="1">
        <f t="shared" si="54"/>
        <v>77826.93903859166</v>
      </c>
      <c r="CB24" s="1">
        <f t="shared" si="55"/>
        <v>55034.235312672</v>
      </c>
      <c r="CC24" s="1">
        <f t="shared" si="56"/>
        <v>223939.05792236814</v>
      </c>
      <c r="CD24" s="1">
        <f t="shared" si="1"/>
        <v>678296.9502286824</v>
      </c>
      <c r="CE24" s="1">
        <f t="shared" si="2"/>
        <v>339148.4751143412</v>
      </c>
      <c r="CF24" s="1">
        <f t="shared" si="3"/>
        <v>1572415.657348309</v>
      </c>
      <c r="CG24" t="s">
        <v>20</v>
      </c>
      <c r="CH24" s="10" t="s">
        <v>157</v>
      </c>
      <c r="CI24" s="1">
        <v>2006165</v>
      </c>
      <c r="CJ24" s="102">
        <v>2417.665</v>
      </c>
      <c r="CK24" s="1">
        <v>12538.13</v>
      </c>
      <c r="CL24" s="1">
        <f t="shared" si="57"/>
        <v>14955.794999999998</v>
      </c>
      <c r="CM24" s="1">
        <v>2554.84419193896</v>
      </c>
      <c r="CN24" s="1">
        <v>12128.4524069429</v>
      </c>
      <c r="CO24" s="1">
        <f t="shared" si="58"/>
        <v>14683.296598881861</v>
      </c>
      <c r="CP24" s="1">
        <f t="shared" si="4"/>
        <v>4839.614558991461</v>
      </c>
      <c r="CQ24" s="1">
        <f t="shared" si="5"/>
        <v>2562.2352565048845</v>
      </c>
      <c r="CR24" s="1">
        <f t="shared" si="6"/>
        <v>6689.709930450576</v>
      </c>
      <c r="CS24" s="1">
        <f t="shared" si="7"/>
        <v>2389.865489864711</v>
      </c>
      <c r="CT24" s="1">
        <f t="shared" si="8"/>
        <v>321.9964028284042</v>
      </c>
      <c r="CU24" s="1">
        <f t="shared" si="9"/>
        <v>4243.014337725517</v>
      </c>
      <c r="CW24" s="195" t="s">
        <v>608</v>
      </c>
      <c r="CX24" s="191"/>
      <c r="CY24" s="191"/>
      <c r="CZ24" s="233"/>
      <c r="DA24" s="191"/>
      <c r="DB24" s="191"/>
      <c r="DC24" s="233"/>
      <c r="DD24" s="186"/>
    </row>
    <row r="25" spans="1:108" ht="12.75">
      <c r="A25" t="s">
        <v>21</v>
      </c>
      <c r="B25" s="1">
        <v>122296</v>
      </c>
      <c r="C25" s="10" t="s">
        <v>14</v>
      </c>
      <c r="D25" s="113">
        <v>21.1</v>
      </c>
      <c r="E25" s="29">
        <v>5.4</v>
      </c>
      <c r="F25" s="29">
        <v>95.3</v>
      </c>
      <c r="G25" s="113">
        <v>73</v>
      </c>
      <c r="H25" s="115">
        <v>32.3</v>
      </c>
      <c r="I25" s="1">
        <f t="shared" si="10"/>
        <v>25804.456000000002</v>
      </c>
      <c r="J25" s="1">
        <f t="shared" si="11"/>
        <v>6603.984</v>
      </c>
      <c r="K25" s="1">
        <f t="shared" si="12"/>
        <v>116548.08799999999</v>
      </c>
      <c r="L25" s="1">
        <f t="shared" si="13"/>
        <v>89276.08</v>
      </c>
      <c r="M25" s="1">
        <f t="shared" si="14"/>
        <v>39501.608</v>
      </c>
      <c r="N25" s="12">
        <f t="shared" si="59"/>
        <v>-0.006319999999999992</v>
      </c>
      <c r="O25" s="12">
        <f t="shared" si="60"/>
        <v>-0.013639999999999998</v>
      </c>
      <c r="P25" s="12">
        <f t="shared" si="61"/>
        <v>0.12819</v>
      </c>
      <c r="Q25" s="12">
        <f t="shared" si="62"/>
        <v>0.16655999999999996</v>
      </c>
      <c r="R25" s="12">
        <f t="shared" si="63"/>
        <v>0.19522799999999996</v>
      </c>
      <c r="S25" s="1">
        <f t="shared" si="15"/>
        <v>39551.01069216</v>
      </c>
      <c r="T25" s="2">
        <f t="shared" si="16"/>
        <v>0.32340396</v>
      </c>
      <c r="U25" s="1">
        <f t="shared" si="17"/>
        <v>4548.3662295984</v>
      </c>
      <c r="V25" s="1">
        <f t="shared" si="18"/>
        <v>2768.5707484512004</v>
      </c>
      <c r="W25" s="1">
        <f t="shared" si="19"/>
        <v>1384.2853742256002</v>
      </c>
      <c r="X25" s="1">
        <f t="shared" si="20"/>
        <v>6418.050371409601</v>
      </c>
      <c r="Y25" s="1">
        <f t="shared" si="21"/>
        <v>645.4724944960512</v>
      </c>
      <c r="Z25" s="1">
        <f t="shared" si="22"/>
        <v>322.7362472480256</v>
      </c>
      <c r="AA25" s="1">
        <f t="shared" si="23"/>
        <v>1496.3226008772099</v>
      </c>
      <c r="AB25" s="1">
        <f t="shared" si="24"/>
        <v>11068.878743703825</v>
      </c>
      <c r="AC25" s="1">
        <f t="shared" si="25"/>
        <v>5534.439371851912</v>
      </c>
      <c r="AD25" s="1">
        <f t="shared" si="26"/>
        <v>25659.67345131341</v>
      </c>
      <c r="AE25" s="1">
        <f t="shared" si="27"/>
        <v>6551.517342407222</v>
      </c>
      <c r="AF25" s="1">
        <f t="shared" si="28"/>
        <v>3275.758671203611</v>
      </c>
      <c r="AG25" s="1">
        <f t="shared" si="29"/>
        <v>15187.608384671286</v>
      </c>
      <c r="AH25" s="259"/>
      <c r="AI25" s="259"/>
      <c r="AJ25" s="195" t="s">
        <v>470</v>
      </c>
      <c r="AK25" s="191"/>
      <c r="AL25" s="191"/>
      <c r="AM25" s="198"/>
      <c r="AN25" s="33"/>
      <c r="AP25" t="s">
        <v>21</v>
      </c>
      <c r="AQ25" s="10" t="s">
        <v>157</v>
      </c>
      <c r="AR25" s="1">
        <v>122296</v>
      </c>
      <c r="AS25" s="1">
        <v>39551.01069216</v>
      </c>
      <c r="AT25" s="1">
        <v>19775.50534608</v>
      </c>
      <c r="AU25" s="1">
        <v>91686.43387728001</v>
      </c>
      <c r="AV25" s="1">
        <v>4548.3662295984</v>
      </c>
      <c r="AW25" s="1">
        <v>3164.0808553728</v>
      </c>
      <c r="AX25" s="1">
        <v>13051.8335284128</v>
      </c>
      <c r="AY25" s="1">
        <f t="shared" si="30"/>
        <v>832.3510200165073</v>
      </c>
      <c r="AZ25" s="1">
        <f t="shared" si="31"/>
        <v>486.5591122608495</v>
      </c>
      <c r="BA25" s="1">
        <f t="shared" si="32"/>
        <v>1148.9773480307867</v>
      </c>
      <c r="BB25" s="1">
        <f t="shared" si="33"/>
        <v>263.8052413167072</v>
      </c>
      <c r="BC25" s="1">
        <f t="shared" si="34"/>
        <v>0</v>
      </c>
      <c r="BD25" s="1">
        <f t="shared" si="35"/>
        <v>631.8399334776454</v>
      </c>
      <c r="BE25" s="1">
        <f t="shared" si="36"/>
        <v>591.287609847792</v>
      </c>
      <c r="BF25" s="1">
        <f t="shared" si="37"/>
        <v>380.1979331321303</v>
      </c>
      <c r="BG25" s="1">
        <f t="shared" si="38"/>
        <v>915.3132200443821</v>
      </c>
      <c r="BH25" s="1">
        <f t="shared" si="39"/>
        <v>181.93464918393602</v>
      </c>
      <c r="BI25" s="1">
        <f t="shared" si="40"/>
        <v>90.96732459196801</v>
      </c>
      <c r="BJ25" s="1">
        <f t="shared" si="41"/>
        <v>324.93528344250973</v>
      </c>
      <c r="BL25" s="2">
        <v>0.74</v>
      </c>
      <c r="BM25" s="2">
        <v>0</v>
      </c>
      <c r="BO25" s="1">
        <f t="shared" si="42"/>
        <v>832.3510200165073</v>
      </c>
      <c r="BP25" s="1">
        <f t="shared" si="43"/>
        <v>486.5591122608495</v>
      </c>
      <c r="BQ25" s="1">
        <f t="shared" si="44"/>
        <v>1148.9773480307867</v>
      </c>
      <c r="BR25" s="1">
        <f t="shared" si="45"/>
        <v>107.63253845721655</v>
      </c>
      <c r="BS25" s="1">
        <f t="shared" si="46"/>
        <v>0</v>
      </c>
      <c r="BT25" s="1">
        <f t="shared" si="47"/>
        <v>257.7906928588793</v>
      </c>
      <c r="BU25" s="1">
        <f t="shared" si="48"/>
        <v>591.287609847792</v>
      </c>
      <c r="BV25" s="1">
        <f t="shared" si="49"/>
        <v>380.1979331321303</v>
      </c>
      <c r="BW25" s="1">
        <f t="shared" si="50"/>
        <v>915.3132200443821</v>
      </c>
      <c r="BX25" s="1">
        <f t="shared" si="51"/>
        <v>181.93464918393602</v>
      </c>
      <c r="BY25" s="1">
        <f t="shared" si="52"/>
        <v>90.96732459196801</v>
      </c>
      <c r="BZ25" s="1">
        <f t="shared" si="53"/>
        <v>324.93528344250973</v>
      </c>
      <c r="CA25" s="1">
        <f t="shared" si="54"/>
        <v>4392.19352673891</v>
      </c>
      <c r="CB25" s="1">
        <f t="shared" si="55"/>
        <v>3164.0808553728</v>
      </c>
      <c r="CC25" s="1">
        <f t="shared" si="56"/>
        <v>12677.784287794035</v>
      </c>
      <c r="CD25" s="1">
        <f t="shared" si="1"/>
        <v>38380.30077567207</v>
      </c>
      <c r="CE25" s="1">
        <f t="shared" si="2"/>
        <v>19190.150387836034</v>
      </c>
      <c r="CF25" s="1">
        <f t="shared" si="3"/>
        <v>88972.51543451252</v>
      </c>
      <c r="CG25" t="s">
        <v>21</v>
      </c>
      <c r="CH25" s="10" t="s">
        <v>157</v>
      </c>
      <c r="CI25" s="1">
        <v>122296</v>
      </c>
      <c r="CJ25" s="102">
        <v>129.111</v>
      </c>
      <c r="CK25" s="1">
        <v>278.5992</v>
      </c>
      <c r="CL25" s="1">
        <f t="shared" si="57"/>
        <v>407.7102</v>
      </c>
      <c r="CM25" s="1">
        <v>128.963948747153</v>
      </c>
      <c r="CN25" s="1">
        <v>248.472907716675</v>
      </c>
      <c r="CO25" s="1">
        <f t="shared" si="58"/>
        <v>377.436856463828</v>
      </c>
      <c r="CP25" s="1">
        <f t="shared" si="4"/>
        <v>124.40318789047771</v>
      </c>
      <c r="CQ25" s="1">
        <f t="shared" si="5"/>
        <v>65.86273145293798</v>
      </c>
      <c r="CR25" s="1">
        <f t="shared" si="6"/>
        <v>171.96023180492006</v>
      </c>
      <c r="CS25" s="1">
        <f t="shared" si="7"/>
        <v>37.452976544691204</v>
      </c>
      <c r="CT25" s="1">
        <f t="shared" si="8"/>
        <v>4.7352852952268885</v>
      </c>
      <c r="CU25" s="1">
        <f t="shared" si="9"/>
        <v>70.65191848306021</v>
      </c>
      <c r="CW25" s="195"/>
      <c r="CX25" s="191"/>
      <c r="CY25" s="191"/>
      <c r="CZ25" s="233"/>
      <c r="DA25" s="191"/>
      <c r="DB25" s="191"/>
      <c r="DC25" s="233"/>
      <c r="DD25" s="186"/>
    </row>
    <row r="26" spans="1:108" ht="12.75">
      <c r="A26" t="s">
        <v>22</v>
      </c>
      <c r="B26" s="1">
        <v>107207</v>
      </c>
      <c r="C26" s="10" t="s">
        <v>14</v>
      </c>
      <c r="D26" s="113">
        <v>10.6</v>
      </c>
      <c r="E26" s="113">
        <v>13</v>
      </c>
      <c r="F26" s="107">
        <v>69.1</v>
      </c>
      <c r="G26" s="113">
        <v>5</v>
      </c>
      <c r="H26" s="107">
        <v>22.1</v>
      </c>
      <c r="I26" s="1">
        <f t="shared" si="10"/>
        <v>11363.942</v>
      </c>
      <c r="J26" s="1">
        <f t="shared" si="11"/>
        <v>13936.91</v>
      </c>
      <c r="K26" s="1">
        <f t="shared" si="12"/>
        <v>74080.037</v>
      </c>
      <c r="L26" s="1">
        <f t="shared" si="13"/>
        <v>5360.35</v>
      </c>
      <c r="M26" s="1">
        <f t="shared" si="14"/>
        <v>23692.747000000003</v>
      </c>
      <c r="N26" s="12">
        <f t="shared" si="59"/>
        <v>-0.09032000000000001</v>
      </c>
      <c r="O26" s="12">
        <f t="shared" si="60"/>
        <v>0.016760000000000004</v>
      </c>
      <c r="P26" s="12">
        <f t="shared" si="61"/>
        <v>0.04959</v>
      </c>
      <c r="Q26" s="12">
        <f t="shared" si="62"/>
        <v>-0.37744000000000005</v>
      </c>
      <c r="R26" s="12">
        <f t="shared" si="63"/>
        <v>0.09424800000000001</v>
      </c>
      <c r="S26" s="1">
        <f t="shared" si="15"/>
        <v>16340.958362519998</v>
      </c>
      <c r="T26" s="2">
        <f t="shared" si="16"/>
        <v>0.15242435999999998</v>
      </c>
      <c r="U26" s="1">
        <f t="shared" si="17"/>
        <v>1879.2102116897997</v>
      </c>
      <c r="V26" s="1">
        <f t="shared" si="18"/>
        <v>1143.8670853764</v>
      </c>
      <c r="W26" s="1">
        <f t="shared" si="19"/>
        <v>571.9335426882</v>
      </c>
      <c r="X26" s="1">
        <f t="shared" si="20"/>
        <v>2651.6918797362</v>
      </c>
      <c r="Y26" s="1">
        <f t="shared" si="21"/>
        <v>653.6383345007999</v>
      </c>
      <c r="Z26" s="1">
        <f t="shared" si="22"/>
        <v>326.81916725039997</v>
      </c>
      <c r="AA26" s="1">
        <f t="shared" si="23"/>
        <v>1515.2525027063998</v>
      </c>
      <c r="AB26" s="1">
        <f t="shared" si="24"/>
        <v>4712.732391750767</v>
      </c>
      <c r="AC26" s="1">
        <f t="shared" si="25"/>
        <v>2356.3661958753837</v>
      </c>
      <c r="AD26" s="1">
        <f t="shared" si="26"/>
        <v>10924.970544513142</v>
      </c>
      <c r="AE26" s="1">
        <f t="shared" si="27"/>
        <v>2789.4015924821633</v>
      </c>
      <c r="AF26" s="1">
        <f t="shared" si="28"/>
        <v>1394.7007962410817</v>
      </c>
      <c r="AG26" s="1">
        <f t="shared" si="29"/>
        <v>6466.340055299561</v>
      </c>
      <c r="AH26" s="259"/>
      <c r="AI26" s="259"/>
      <c r="AJ26" s="195" t="s">
        <v>471</v>
      </c>
      <c r="AK26" s="191"/>
      <c r="AL26" s="191"/>
      <c r="AM26" s="198"/>
      <c r="AN26" s="33"/>
      <c r="AP26" t="s">
        <v>22</v>
      </c>
      <c r="AQ26" s="10" t="s">
        <v>157</v>
      </c>
      <c r="AR26" s="1">
        <v>107207</v>
      </c>
      <c r="AS26" s="1">
        <v>16340.958362519998</v>
      </c>
      <c r="AT26" s="1">
        <v>8170.479181259999</v>
      </c>
      <c r="AU26" s="1">
        <v>37881.312567659996</v>
      </c>
      <c r="AV26" s="1">
        <v>1879.2102116897997</v>
      </c>
      <c r="AW26" s="1">
        <v>1307.2766690015999</v>
      </c>
      <c r="AX26" s="1">
        <v>5392.5162596315995</v>
      </c>
      <c r="AY26" s="1">
        <f t="shared" si="30"/>
        <v>343.89546873923337</v>
      </c>
      <c r="AZ26" s="1">
        <f t="shared" si="31"/>
        <v>201.02753520620624</v>
      </c>
      <c r="BA26" s="1">
        <f t="shared" si="32"/>
        <v>474.7133050476378</v>
      </c>
      <c r="BB26" s="1">
        <f t="shared" si="33"/>
        <v>108.99419227800838</v>
      </c>
      <c r="BC26" s="1">
        <f t="shared" si="34"/>
        <v>0</v>
      </c>
      <c r="BD26" s="1">
        <f t="shared" si="35"/>
        <v>261.05198992505785</v>
      </c>
      <c r="BE26" s="1">
        <f t="shared" si="36"/>
        <v>244.29732751967398</v>
      </c>
      <c r="BF26" s="1">
        <f t="shared" si="37"/>
        <v>157.08318159515036</v>
      </c>
      <c r="BG26" s="1">
        <f t="shared" si="38"/>
        <v>378.17226300045536</v>
      </c>
      <c r="BH26" s="1">
        <f t="shared" si="39"/>
        <v>75.16840846759199</v>
      </c>
      <c r="BI26" s="1">
        <f t="shared" si="40"/>
        <v>37.584204233795994</v>
      </c>
      <c r="BJ26" s="1">
        <f t="shared" si="41"/>
        <v>134.2507775231193</v>
      </c>
      <c r="BL26" s="2">
        <v>0</v>
      </c>
      <c r="BM26" s="2">
        <v>0</v>
      </c>
      <c r="BO26" s="1">
        <f t="shared" si="42"/>
        <v>343.89546873923337</v>
      </c>
      <c r="BP26" s="1">
        <f t="shared" si="43"/>
        <v>201.02753520620624</v>
      </c>
      <c r="BQ26" s="1">
        <f t="shared" si="44"/>
        <v>474.7133050476378</v>
      </c>
      <c r="BR26" s="1">
        <f t="shared" si="45"/>
        <v>108.99419227800838</v>
      </c>
      <c r="BS26" s="1">
        <f t="shared" si="46"/>
        <v>0</v>
      </c>
      <c r="BT26" s="1">
        <f t="shared" si="47"/>
        <v>261.05198992505785</v>
      </c>
      <c r="BU26" s="1">
        <f t="shared" si="48"/>
        <v>244.29732751967398</v>
      </c>
      <c r="BV26" s="1">
        <f t="shared" si="49"/>
        <v>157.08318159515036</v>
      </c>
      <c r="BW26" s="1">
        <f t="shared" si="50"/>
        <v>378.17226300045536</v>
      </c>
      <c r="BX26" s="1">
        <f t="shared" si="51"/>
        <v>75.16840846759199</v>
      </c>
      <c r="BY26" s="1">
        <f t="shared" si="52"/>
        <v>37.584204233795994</v>
      </c>
      <c r="BZ26" s="1">
        <f t="shared" si="53"/>
        <v>134.2507775231193</v>
      </c>
      <c r="CA26" s="1">
        <f t="shared" si="54"/>
        <v>1879.2102116897997</v>
      </c>
      <c r="CB26" s="1">
        <f t="shared" si="55"/>
        <v>1307.2766690015999</v>
      </c>
      <c r="CC26" s="1">
        <f t="shared" si="56"/>
        <v>5392.5162596315995</v>
      </c>
      <c r="CD26" s="1">
        <f t="shared" si="1"/>
        <v>16340.958362519998</v>
      </c>
      <c r="CE26" s="1">
        <f t="shared" si="2"/>
        <v>8170.479181259999</v>
      </c>
      <c r="CF26" s="1">
        <f t="shared" si="3"/>
        <v>37881.312567659996</v>
      </c>
      <c r="CG26" t="s">
        <v>22</v>
      </c>
      <c r="CH26" s="10" t="s">
        <v>157</v>
      </c>
      <c r="CI26" s="1">
        <v>107207</v>
      </c>
      <c r="CJ26" s="102">
        <v>106.7031</v>
      </c>
      <c r="CK26" s="1">
        <v>289.2863</v>
      </c>
      <c r="CL26" s="1">
        <f t="shared" si="57"/>
        <v>395.9894</v>
      </c>
      <c r="CM26" s="1">
        <v>114.39971704918</v>
      </c>
      <c r="CN26" s="1">
        <v>287.432092812271</v>
      </c>
      <c r="CO26" s="1">
        <f t="shared" si="58"/>
        <v>401.831809861451</v>
      </c>
      <c r="CP26" s="1">
        <f t="shared" si="4"/>
        <v>132.44376453033425</v>
      </c>
      <c r="CQ26" s="1">
        <f t="shared" si="5"/>
        <v>70.1196508208232</v>
      </c>
      <c r="CR26" s="1">
        <f t="shared" si="6"/>
        <v>183.0745725728771</v>
      </c>
      <c r="CS26" s="1">
        <f t="shared" si="7"/>
        <v>85.42944277654449</v>
      </c>
      <c r="CT26" s="1">
        <f t="shared" si="8"/>
        <v>12.135320657815821</v>
      </c>
      <c r="CU26" s="1">
        <f t="shared" si="9"/>
        <v>144.98091699801154</v>
      </c>
      <c r="CW26" s="195" t="s">
        <v>603</v>
      </c>
      <c r="CX26" s="191"/>
      <c r="CY26" s="191"/>
      <c r="CZ26" s="233"/>
      <c r="DA26" s="191"/>
      <c r="DB26" s="191"/>
      <c r="DC26" s="233"/>
      <c r="DD26" s="186"/>
    </row>
    <row r="27" spans="1:108" ht="12.75">
      <c r="A27" t="s">
        <v>23</v>
      </c>
      <c r="B27" s="1">
        <v>185179</v>
      </c>
      <c r="C27" s="10" t="s">
        <v>14</v>
      </c>
      <c r="D27" s="113">
        <v>8.1</v>
      </c>
      <c r="E27" s="29">
        <v>11.4</v>
      </c>
      <c r="F27" s="29">
        <v>92.1</v>
      </c>
      <c r="G27" s="113">
        <v>27</v>
      </c>
      <c r="H27" s="115">
        <v>21.4</v>
      </c>
      <c r="I27" s="1">
        <f t="shared" si="10"/>
        <v>14999.499</v>
      </c>
      <c r="J27" s="1">
        <f t="shared" si="11"/>
        <v>21110.406000000003</v>
      </c>
      <c r="K27" s="1">
        <f t="shared" si="12"/>
        <v>170549.859</v>
      </c>
      <c r="L27" s="1">
        <f t="shared" si="13"/>
        <v>49998.33</v>
      </c>
      <c r="M27" s="1">
        <f t="shared" si="14"/>
        <v>39628.306</v>
      </c>
      <c r="N27" s="12">
        <f t="shared" si="59"/>
        <v>-0.11032000000000003</v>
      </c>
      <c r="O27" s="12">
        <f t="shared" si="60"/>
        <v>0.010360000000000003</v>
      </c>
      <c r="P27" s="12">
        <f t="shared" si="61"/>
        <v>0.11858999999999999</v>
      </c>
      <c r="Q27" s="12">
        <f t="shared" si="62"/>
        <v>-0.20144000000000004</v>
      </c>
      <c r="R27" s="12">
        <f t="shared" si="63"/>
        <v>0.087318</v>
      </c>
      <c r="S27" s="1">
        <f t="shared" si="15"/>
        <v>36849.09512504</v>
      </c>
      <c r="T27" s="2">
        <f t="shared" si="16"/>
        <v>0.19899176000000002</v>
      </c>
      <c r="U27" s="1">
        <f t="shared" si="17"/>
        <v>4237.6459393796</v>
      </c>
      <c r="V27" s="1">
        <f t="shared" si="18"/>
        <v>2579.4366587528007</v>
      </c>
      <c r="W27" s="1">
        <f t="shared" si="19"/>
        <v>1289.7183293764003</v>
      </c>
      <c r="X27" s="1">
        <f t="shared" si="20"/>
        <v>5979.6031634724</v>
      </c>
      <c r="Y27" s="1">
        <f t="shared" si="21"/>
        <v>943.336835201024</v>
      </c>
      <c r="Z27" s="1">
        <f t="shared" si="22"/>
        <v>471.668417600512</v>
      </c>
      <c r="AA27" s="1">
        <f t="shared" si="23"/>
        <v>2186.826299784192</v>
      </c>
      <c r="AB27" s="1">
        <f t="shared" si="24"/>
        <v>10435.98801144843</v>
      </c>
      <c r="AC27" s="1">
        <f t="shared" si="25"/>
        <v>5217.994005724215</v>
      </c>
      <c r="AD27" s="1">
        <f t="shared" si="26"/>
        <v>24192.517662903174</v>
      </c>
      <c r="AE27" s="1">
        <f t="shared" si="27"/>
        <v>6176.91800816313</v>
      </c>
      <c r="AF27" s="1">
        <f t="shared" si="28"/>
        <v>3088.459004081565</v>
      </c>
      <c r="AG27" s="1">
        <f t="shared" si="29"/>
        <v>14319.21901892362</v>
      </c>
      <c r="AH27" s="259"/>
      <c r="AI27" s="259"/>
      <c r="AJ27" s="195" t="s">
        <v>472</v>
      </c>
      <c r="AK27" s="191"/>
      <c r="AL27" s="191"/>
      <c r="AM27" s="198"/>
      <c r="AN27" s="33"/>
      <c r="AP27" t="s">
        <v>23</v>
      </c>
      <c r="AQ27" s="10" t="s">
        <v>157</v>
      </c>
      <c r="AR27" s="1">
        <v>185179</v>
      </c>
      <c r="AS27" s="1">
        <v>36849.09512504</v>
      </c>
      <c r="AT27" s="1">
        <v>18424.54756252</v>
      </c>
      <c r="AU27" s="1">
        <v>85422.90233532</v>
      </c>
      <c r="AV27" s="1">
        <v>4237.6459393796</v>
      </c>
      <c r="AW27" s="1">
        <v>2947.9276100032002</v>
      </c>
      <c r="AX27" s="1">
        <v>12160.201391263201</v>
      </c>
      <c r="AY27" s="1">
        <f t="shared" si="30"/>
        <v>775.4892069064668</v>
      </c>
      <c r="AZ27" s="1">
        <f t="shared" si="31"/>
        <v>453.3199707892442</v>
      </c>
      <c r="BA27" s="1">
        <f t="shared" si="32"/>
        <v>1070.4853012136869</v>
      </c>
      <c r="BB27" s="1">
        <f t="shared" si="33"/>
        <v>245.78346448401683</v>
      </c>
      <c r="BC27" s="1">
        <f t="shared" si="34"/>
        <v>0</v>
      </c>
      <c r="BD27" s="1">
        <f t="shared" si="35"/>
        <v>588.6759757856687</v>
      </c>
      <c r="BE27" s="1">
        <f t="shared" si="36"/>
        <v>550.8939721193481</v>
      </c>
      <c r="BF27" s="1">
        <f t="shared" si="37"/>
        <v>354.22482407274083</v>
      </c>
      <c r="BG27" s="1">
        <f t="shared" si="38"/>
        <v>852.7838688407509</v>
      </c>
      <c r="BH27" s="1">
        <f t="shared" si="39"/>
        <v>169.50583757518402</v>
      </c>
      <c r="BI27" s="1">
        <f t="shared" si="40"/>
        <v>84.75291878759201</v>
      </c>
      <c r="BJ27" s="1">
        <f t="shared" si="41"/>
        <v>302.73742590927867</v>
      </c>
      <c r="BL27" s="2">
        <v>0.45</v>
      </c>
      <c r="BM27" s="2">
        <v>0</v>
      </c>
      <c r="BO27" s="1">
        <f t="shared" si="42"/>
        <v>775.4892069064668</v>
      </c>
      <c r="BP27" s="1">
        <f t="shared" si="43"/>
        <v>453.3199707892442</v>
      </c>
      <c r="BQ27" s="1">
        <f t="shared" si="44"/>
        <v>1070.4853012136869</v>
      </c>
      <c r="BR27" s="1">
        <f t="shared" si="45"/>
        <v>157.30141726977075</v>
      </c>
      <c r="BS27" s="1">
        <f t="shared" si="46"/>
        <v>0</v>
      </c>
      <c r="BT27" s="1">
        <f t="shared" si="47"/>
        <v>376.7526245028279</v>
      </c>
      <c r="BU27" s="1">
        <f t="shared" si="48"/>
        <v>550.8939721193481</v>
      </c>
      <c r="BV27" s="1">
        <f t="shared" si="49"/>
        <v>354.22482407274083</v>
      </c>
      <c r="BW27" s="1">
        <f t="shared" si="50"/>
        <v>852.7838688407509</v>
      </c>
      <c r="BX27" s="1">
        <f t="shared" si="51"/>
        <v>169.50583757518402</v>
      </c>
      <c r="BY27" s="1">
        <f t="shared" si="52"/>
        <v>84.75291878759201</v>
      </c>
      <c r="BZ27" s="1">
        <f t="shared" si="53"/>
        <v>302.73742590927867</v>
      </c>
      <c r="CA27" s="1">
        <f t="shared" si="54"/>
        <v>4149.163892165354</v>
      </c>
      <c r="CB27" s="1">
        <f t="shared" si="55"/>
        <v>2947.9276100032002</v>
      </c>
      <c r="CC27" s="1">
        <f t="shared" si="56"/>
        <v>11948.27803998036</v>
      </c>
      <c r="CD27" s="1">
        <f t="shared" si="1"/>
        <v>36185.811412789284</v>
      </c>
      <c r="CE27" s="1">
        <f t="shared" si="2"/>
        <v>18092.905706394642</v>
      </c>
      <c r="CF27" s="1">
        <f t="shared" si="3"/>
        <v>83885.29009328425</v>
      </c>
      <c r="CG27" t="s">
        <v>23</v>
      </c>
      <c r="CH27" s="10" t="s">
        <v>157</v>
      </c>
      <c r="CI27" s="1">
        <v>185179</v>
      </c>
      <c r="CJ27" s="102">
        <v>90.85056</v>
      </c>
      <c r="CK27" s="1">
        <v>241.004</v>
      </c>
      <c r="CL27" s="1">
        <f t="shared" si="57"/>
        <v>331.85456</v>
      </c>
      <c r="CM27" s="1">
        <v>85.7939425602968</v>
      </c>
      <c r="CN27" s="1">
        <v>205.290765867441</v>
      </c>
      <c r="CO27" s="1">
        <f t="shared" si="58"/>
        <v>291.0847084277378</v>
      </c>
      <c r="CP27" s="1">
        <f t="shared" si="4"/>
        <v>95.94151989778237</v>
      </c>
      <c r="CQ27" s="1">
        <f t="shared" si="5"/>
        <v>50.79428162064024</v>
      </c>
      <c r="CR27" s="1">
        <f t="shared" si="6"/>
        <v>132.61819315967733</v>
      </c>
      <c r="CS27" s="1">
        <f t="shared" si="7"/>
        <v>42.88867759599911</v>
      </c>
      <c r="CT27" s="1">
        <f t="shared" si="8"/>
        <v>5.687924358112716</v>
      </c>
      <c r="CU27" s="1">
        <f t="shared" si="9"/>
        <v>77.24862108839527</v>
      </c>
      <c r="CW27" s="195"/>
      <c r="CX27" s="191"/>
      <c r="CY27" s="191"/>
      <c r="CZ27" s="233"/>
      <c r="DA27" s="191"/>
      <c r="DB27" s="191"/>
      <c r="DC27" s="233"/>
      <c r="DD27" s="186"/>
    </row>
    <row r="28" spans="1:108" ht="12.75">
      <c r="A28" t="s">
        <v>24</v>
      </c>
      <c r="B28" s="1">
        <v>287078</v>
      </c>
      <c r="C28" s="10" t="s">
        <v>14</v>
      </c>
      <c r="D28" s="113">
        <v>18</v>
      </c>
      <c r="E28" s="113">
        <v>11</v>
      </c>
      <c r="F28" s="113">
        <v>64</v>
      </c>
      <c r="G28" s="113">
        <v>91</v>
      </c>
      <c r="H28" s="107">
        <v>22.1</v>
      </c>
      <c r="I28" s="1">
        <f t="shared" si="10"/>
        <v>51674.04</v>
      </c>
      <c r="J28" s="1">
        <f t="shared" si="11"/>
        <v>31578.58</v>
      </c>
      <c r="K28" s="1">
        <f t="shared" si="12"/>
        <v>183729.92</v>
      </c>
      <c r="L28" s="1">
        <f t="shared" si="13"/>
        <v>261240.98</v>
      </c>
      <c r="M28" s="1">
        <f t="shared" si="14"/>
        <v>63444.238000000005</v>
      </c>
      <c r="N28" s="12">
        <f t="shared" si="59"/>
        <v>-0.031120000000000016</v>
      </c>
      <c r="O28" s="12">
        <f t="shared" si="60"/>
        <v>0.008760000000000002</v>
      </c>
      <c r="P28" s="12">
        <f t="shared" si="61"/>
        <v>0.03429000000000002</v>
      </c>
      <c r="Q28" s="12">
        <f t="shared" si="62"/>
        <v>0.31056</v>
      </c>
      <c r="R28" s="12">
        <f t="shared" si="63"/>
        <v>0.09424800000000001</v>
      </c>
      <c r="S28" s="1">
        <f t="shared" si="15"/>
        <v>89477.14854408</v>
      </c>
      <c r="T28" s="2">
        <f t="shared" si="16"/>
        <v>0.31168236</v>
      </c>
      <c r="U28" s="1">
        <f t="shared" si="17"/>
        <v>10289.8720825692</v>
      </c>
      <c r="V28" s="1">
        <f t="shared" si="18"/>
        <v>2666.9558895048494</v>
      </c>
      <c r="W28" s="1">
        <f t="shared" si="19"/>
        <v>1333.4779447524247</v>
      </c>
      <c r="X28" s="1">
        <f t="shared" si="20"/>
        <v>6182.4886529430605</v>
      </c>
      <c r="Y28" s="1">
        <f t="shared" si="21"/>
        <v>801.7152509549564</v>
      </c>
      <c r="Z28" s="1">
        <f t="shared" si="22"/>
        <v>400.8576254774782</v>
      </c>
      <c r="AA28" s="1">
        <f t="shared" si="23"/>
        <v>1858.5217181228545</v>
      </c>
      <c r="AB28" s="1">
        <f t="shared" si="24"/>
        <v>23015.66647801649</v>
      </c>
      <c r="AC28" s="1">
        <f t="shared" si="25"/>
        <v>11507.833239008245</v>
      </c>
      <c r="AD28" s="1">
        <f t="shared" si="26"/>
        <v>53354.4995626746</v>
      </c>
      <c r="AE28" s="1">
        <f t="shared" si="27"/>
        <v>13622.656961849565</v>
      </c>
      <c r="AF28" s="1">
        <f t="shared" si="28"/>
        <v>6811.3284809247825</v>
      </c>
      <c r="AG28" s="1">
        <f t="shared" si="29"/>
        <v>31579.795684287634</v>
      </c>
      <c r="AH28" s="259"/>
      <c r="AI28" s="259"/>
      <c r="AJ28" s="195" t="s">
        <v>473</v>
      </c>
      <c r="AK28" s="191"/>
      <c r="AL28" s="191"/>
      <c r="AM28" s="198"/>
      <c r="AN28" s="33"/>
      <c r="AP28" t="s">
        <v>24</v>
      </c>
      <c r="AQ28" s="10" t="s">
        <v>157</v>
      </c>
      <c r="AR28" s="1">
        <v>287078</v>
      </c>
      <c r="AS28" s="1">
        <v>89477.14854408</v>
      </c>
      <c r="AT28" s="1">
        <v>44738.57427204</v>
      </c>
      <c r="AU28" s="1">
        <v>207424.29889764002</v>
      </c>
      <c r="AV28" s="1">
        <v>10289.8720825692</v>
      </c>
      <c r="AW28" s="1">
        <v>7158.1718835264</v>
      </c>
      <c r="AX28" s="1">
        <v>29527.4590195464</v>
      </c>
      <c r="AY28" s="1">
        <f t="shared" si="30"/>
        <v>1883.0465911101635</v>
      </c>
      <c r="AZ28" s="1">
        <f t="shared" si="31"/>
        <v>1100.753715299357</v>
      </c>
      <c r="BA28" s="1">
        <f t="shared" si="32"/>
        <v>2599.3575143684698</v>
      </c>
      <c r="BB28" s="1">
        <f t="shared" si="33"/>
        <v>596.8125807890136</v>
      </c>
      <c r="BC28" s="1">
        <f t="shared" si="34"/>
        <v>0</v>
      </c>
      <c r="BD28" s="1">
        <f t="shared" si="35"/>
        <v>1429.4258122477663</v>
      </c>
      <c r="BE28" s="1">
        <f t="shared" si="36"/>
        <v>1337.683370733996</v>
      </c>
      <c r="BF28" s="1">
        <f t="shared" si="37"/>
        <v>860.1304073819595</v>
      </c>
      <c r="BG28" s="1">
        <f t="shared" si="38"/>
        <v>2070.733857896226</v>
      </c>
      <c r="BH28" s="1">
        <f t="shared" si="39"/>
        <v>411.594883302768</v>
      </c>
      <c r="BI28" s="1">
        <f t="shared" si="40"/>
        <v>205.797441651384</v>
      </c>
      <c r="BJ28" s="1">
        <f t="shared" si="41"/>
        <v>735.1084615787437</v>
      </c>
      <c r="BL28" s="2">
        <v>0.97</v>
      </c>
      <c r="BM28" s="2">
        <v>0.99</v>
      </c>
      <c r="BO28" s="1">
        <f t="shared" si="42"/>
        <v>801.8012384947076</v>
      </c>
      <c r="BP28" s="1">
        <f t="shared" si="43"/>
        <v>468.70093197446624</v>
      </c>
      <c r="BQ28" s="1">
        <f t="shared" si="44"/>
        <v>1106.8064296180944</v>
      </c>
      <c r="BR28" s="1">
        <f t="shared" si="45"/>
        <v>133.68601809673908</v>
      </c>
      <c r="BS28" s="1">
        <f t="shared" si="46"/>
        <v>0</v>
      </c>
      <c r="BT28" s="1">
        <f t="shared" si="47"/>
        <v>320.19138194349966</v>
      </c>
      <c r="BU28" s="1">
        <f t="shared" si="48"/>
        <v>1337.683370733996</v>
      </c>
      <c r="BV28" s="1">
        <f t="shared" si="49"/>
        <v>860.1304073819595</v>
      </c>
      <c r="BW28" s="1">
        <f t="shared" si="50"/>
        <v>2070.733857896226</v>
      </c>
      <c r="BX28" s="1">
        <f t="shared" si="51"/>
        <v>411.594883302768</v>
      </c>
      <c r="BY28" s="1">
        <f t="shared" si="52"/>
        <v>205.797441651384</v>
      </c>
      <c r="BZ28" s="1">
        <f t="shared" si="53"/>
        <v>735.1084615787437</v>
      </c>
      <c r="CA28" s="1">
        <f t="shared" si="54"/>
        <v>8745.500167261469</v>
      </c>
      <c r="CB28" s="1">
        <f t="shared" si="55"/>
        <v>6526.119100201509</v>
      </c>
      <c r="CC28" s="1">
        <f t="shared" si="56"/>
        <v>26925.67350449176</v>
      </c>
      <c r="CD28" s="1">
        <f t="shared" si="1"/>
        <v>79804.66878646494</v>
      </c>
      <c r="CE28" s="1">
        <f t="shared" si="2"/>
        <v>39902.33439323247</v>
      </c>
      <c r="CF28" s="1">
        <f t="shared" si="3"/>
        <v>185001.73218680514</v>
      </c>
      <c r="CG28" t="s">
        <v>24</v>
      </c>
      <c r="CH28" s="10" t="s">
        <v>157</v>
      </c>
      <c r="CI28" s="1">
        <v>287078</v>
      </c>
      <c r="CJ28" s="102">
        <v>297.0186</v>
      </c>
      <c r="CK28" s="1">
        <v>652.3842</v>
      </c>
      <c r="CL28" s="1">
        <f t="shared" si="57"/>
        <v>949.4028</v>
      </c>
      <c r="CM28" s="1">
        <v>328.548931265148</v>
      </c>
      <c r="CN28" s="1">
        <v>658.133686684258</v>
      </c>
      <c r="CO28" s="1">
        <f t="shared" si="58"/>
        <v>986.682617949406</v>
      </c>
      <c r="CP28" s="1">
        <f t="shared" si="4"/>
        <v>170.79956712712666</v>
      </c>
      <c r="CQ28" s="1">
        <f t="shared" si="5"/>
        <v>81.47634968526808</v>
      </c>
      <c r="CR28" s="1">
        <f t="shared" si="6"/>
        <v>259.22591051077967</v>
      </c>
      <c r="CS28" s="1">
        <f t="shared" si="7"/>
        <v>56.27177702662081</v>
      </c>
      <c r="CT28" s="1">
        <f t="shared" si="8"/>
        <v>6.834887530150728</v>
      </c>
      <c r="CU28" s="1">
        <f t="shared" si="9"/>
        <v>110.75107418882249</v>
      </c>
      <c r="CW28" s="195" t="s">
        <v>604</v>
      </c>
      <c r="CX28" s="191"/>
      <c r="CY28" s="191"/>
      <c r="CZ28" s="233"/>
      <c r="DA28" s="191"/>
      <c r="DB28" s="191"/>
      <c r="DC28" s="233"/>
      <c r="DD28" s="186"/>
    </row>
    <row r="29" spans="1:108" ht="12.75">
      <c r="A29" t="s">
        <v>25</v>
      </c>
      <c r="B29" s="1">
        <v>3532887</v>
      </c>
      <c r="C29" s="10" t="s">
        <v>14</v>
      </c>
      <c r="D29" s="115">
        <v>13.5</v>
      </c>
      <c r="E29" s="29">
        <v>4.1</v>
      </c>
      <c r="F29" s="29">
        <v>29.6</v>
      </c>
      <c r="G29" s="116">
        <v>86</v>
      </c>
      <c r="H29" s="115">
        <v>7.3</v>
      </c>
      <c r="I29" s="1">
        <f t="shared" si="10"/>
        <v>476939.745</v>
      </c>
      <c r="J29" s="1">
        <f t="shared" si="11"/>
        <v>144848.367</v>
      </c>
      <c r="K29" s="1">
        <f t="shared" si="12"/>
        <v>1045734.552</v>
      </c>
      <c r="L29" s="1">
        <f t="shared" si="13"/>
        <v>3038282.82</v>
      </c>
      <c r="M29" s="1">
        <f t="shared" si="14"/>
        <v>257900.751</v>
      </c>
      <c r="N29" s="12">
        <f t="shared" si="59"/>
        <v>-0.06712</v>
      </c>
      <c r="O29" s="12">
        <f t="shared" si="60"/>
        <v>-0.018840000000000003</v>
      </c>
      <c r="P29" s="12">
        <f t="shared" si="61"/>
        <v>-0.06890999999999997</v>
      </c>
      <c r="Q29" s="12">
        <f t="shared" si="62"/>
        <v>0.27055999999999997</v>
      </c>
      <c r="R29" s="12">
        <f t="shared" si="63"/>
        <v>-0.052272</v>
      </c>
      <c r="S29" s="1">
        <f t="shared" si="15"/>
        <v>826525.8381085199</v>
      </c>
      <c r="T29" s="2">
        <f t="shared" si="16"/>
        <v>0.23395196</v>
      </c>
      <c r="U29" s="1">
        <f t="shared" si="17"/>
        <v>95050.4713824798</v>
      </c>
      <c r="V29" s="1">
        <f t="shared" si="18"/>
        <v>57856.8086675964</v>
      </c>
      <c r="W29" s="1">
        <f t="shared" si="19"/>
        <v>28928.4043337982</v>
      </c>
      <c r="X29" s="1">
        <f t="shared" si="20"/>
        <v>134122.60191124622</v>
      </c>
      <c r="Y29" s="1">
        <f t="shared" si="21"/>
        <v>8199.136314036517</v>
      </c>
      <c r="Z29" s="1">
        <f t="shared" si="22"/>
        <v>4099.568157018259</v>
      </c>
      <c r="AA29" s="1">
        <f t="shared" si="23"/>
        <v>19007.088727993745</v>
      </c>
      <c r="AB29" s="1">
        <f t="shared" si="24"/>
        <v>229407.33776618246</v>
      </c>
      <c r="AC29" s="1">
        <f t="shared" si="25"/>
        <v>114703.66888309123</v>
      </c>
      <c r="AD29" s="1">
        <f t="shared" si="26"/>
        <v>531807.9193670594</v>
      </c>
      <c r="AE29" s="1">
        <f t="shared" si="27"/>
        <v>135783.05324787568</v>
      </c>
      <c r="AF29" s="1">
        <f t="shared" si="28"/>
        <v>67891.52662393784</v>
      </c>
      <c r="AG29" s="1">
        <f t="shared" si="29"/>
        <v>314769.8052564391</v>
      </c>
      <c r="AH29" s="267"/>
      <c r="AI29" s="267"/>
      <c r="AJ29" s="209" t="s">
        <v>474</v>
      </c>
      <c r="AK29" s="205"/>
      <c r="AL29" s="205"/>
      <c r="AM29" s="206"/>
      <c r="AN29" s="267"/>
      <c r="AP29" t="s">
        <v>25</v>
      </c>
      <c r="AQ29" s="10" t="s">
        <v>157</v>
      </c>
      <c r="AR29" s="1">
        <v>3532887</v>
      </c>
      <c r="AS29" s="1">
        <v>826525.8381085199</v>
      </c>
      <c r="AT29" s="1">
        <v>413262.91905425995</v>
      </c>
      <c r="AU29" s="1">
        <v>1916037.17016066</v>
      </c>
      <c r="AV29" s="1">
        <v>95050.4713824798</v>
      </c>
      <c r="AW29" s="1">
        <v>66122.0670486816</v>
      </c>
      <c r="AX29" s="1">
        <v>272753.52657581156</v>
      </c>
      <c r="AY29" s="1">
        <f t="shared" si="30"/>
        <v>17394.236262993803</v>
      </c>
      <c r="AZ29" s="1">
        <f t="shared" si="31"/>
        <v>10167.974749895657</v>
      </c>
      <c r="BA29" s="1">
        <f t="shared" si="32"/>
        <v>24011.003737436647</v>
      </c>
      <c r="BB29" s="1">
        <f t="shared" si="33"/>
        <v>5512.927340183828</v>
      </c>
      <c r="BC29" s="1">
        <f t="shared" si="34"/>
        <v>0</v>
      </c>
      <c r="BD29" s="1">
        <f t="shared" si="35"/>
        <v>13204.012272474285</v>
      </c>
      <c r="BE29" s="1">
        <f t="shared" si="36"/>
        <v>12356.561279722373</v>
      </c>
      <c r="BF29" s="1">
        <f t="shared" si="37"/>
        <v>7945.268902861486</v>
      </c>
      <c r="BG29" s="1">
        <f t="shared" si="38"/>
        <v>19127.956861010232</v>
      </c>
      <c r="BH29" s="1">
        <f t="shared" si="39"/>
        <v>3802.0188552991917</v>
      </c>
      <c r="BI29" s="1">
        <f t="shared" si="40"/>
        <v>1901.0094276495959</v>
      </c>
      <c r="BJ29" s="1">
        <f t="shared" si="41"/>
        <v>6790.405675564357</v>
      </c>
      <c r="BL29" s="2">
        <v>0.94</v>
      </c>
      <c r="BM29" s="2">
        <v>0</v>
      </c>
      <c r="BO29" s="1">
        <f t="shared" si="42"/>
        <v>17394.236262993803</v>
      </c>
      <c r="BP29" s="1">
        <f t="shared" si="43"/>
        <v>10167.974749895657</v>
      </c>
      <c r="BQ29" s="1">
        <f t="shared" si="44"/>
        <v>24011.003737436647</v>
      </c>
      <c r="BR29" s="1">
        <f t="shared" si="45"/>
        <v>1367.2059803655893</v>
      </c>
      <c r="BS29" s="1">
        <f t="shared" si="46"/>
        <v>0</v>
      </c>
      <c r="BT29" s="1">
        <f t="shared" si="47"/>
        <v>3274.595043573623</v>
      </c>
      <c r="BU29" s="1">
        <f t="shared" si="48"/>
        <v>12356.561279722373</v>
      </c>
      <c r="BV29" s="1">
        <f t="shared" si="49"/>
        <v>7945.268902861486</v>
      </c>
      <c r="BW29" s="1">
        <f t="shared" si="50"/>
        <v>19127.956861010232</v>
      </c>
      <c r="BX29" s="1">
        <f t="shared" si="51"/>
        <v>3802.0188552991917</v>
      </c>
      <c r="BY29" s="1">
        <f t="shared" si="52"/>
        <v>1901.0094276495959</v>
      </c>
      <c r="BZ29" s="1">
        <f t="shared" si="53"/>
        <v>6790.405675564357</v>
      </c>
      <c r="CA29" s="1">
        <f t="shared" si="54"/>
        <v>90904.75002266155</v>
      </c>
      <c r="CB29" s="1">
        <f t="shared" si="55"/>
        <v>66122.0670486816</v>
      </c>
      <c r="CC29" s="1">
        <f t="shared" si="56"/>
        <v>262824.1093469109</v>
      </c>
      <c r="CD29" s="1">
        <f t="shared" si="1"/>
        <v>795448.4665956396</v>
      </c>
      <c r="CE29" s="1">
        <f t="shared" si="2"/>
        <v>397724.2332978198</v>
      </c>
      <c r="CF29" s="1">
        <f t="shared" si="3"/>
        <v>1843994.1725626192</v>
      </c>
      <c r="CG29" t="s">
        <v>25</v>
      </c>
      <c r="CH29" s="10" t="s">
        <v>157</v>
      </c>
      <c r="CI29" s="1">
        <v>3532887</v>
      </c>
      <c r="CJ29" s="102">
        <v>1767.021</v>
      </c>
      <c r="CK29" s="1">
        <v>5699.521</v>
      </c>
      <c r="CL29" s="1">
        <f t="shared" si="57"/>
        <v>7466.5419999999995</v>
      </c>
      <c r="CM29" s="1">
        <v>1875.51221881381</v>
      </c>
      <c r="CN29" s="1">
        <v>5932.04836233578</v>
      </c>
      <c r="CO29" s="1">
        <f t="shared" si="58"/>
        <v>7807.560581149591</v>
      </c>
      <c r="CP29" s="1">
        <f t="shared" si="4"/>
        <v>2573.371967546905</v>
      </c>
      <c r="CQ29" s="1">
        <f t="shared" si="5"/>
        <v>1362.4193214106035</v>
      </c>
      <c r="CR29" s="1">
        <f t="shared" si="6"/>
        <v>3557.1246007717536</v>
      </c>
      <c r="CS29" s="1">
        <f t="shared" si="7"/>
        <v>489.98918985488353</v>
      </c>
      <c r="CT29" s="1">
        <f t="shared" si="8"/>
        <v>59.834368163314096</v>
      </c>
      <c r="CU29" s="1">
        <f t="shared" si="9"/>
        <v>958.7330003254326</v>
      </c>
      <c r="CW29" s="195" t="s">
        <v>605</v>
      </c>
      <c r="CX29" s="191"/>
      <c r="CY29" s="191"/>
      <c r="CZ29" s="233"/>
      <c r="DA29" s="191"/>
      <c r="DB29" s="191"/>
      <c r="DC29" s="233"/>
      <c r="DD29" s="186"/>
    </row>
    <row r="30" spans="1:108" ht="12.75">
      <c r="A30" t="s">
        <v>26</v>
      </c>
      <c r="B30" s="1">
        <v>1657883</v>
      </c>
      <c r="C30" s="10" t="s">
        <v>14</v>
      </c>
      <c r="D30" s="113">
        <v>21.5</v>
      </c>
      <c r="E30" s="29">
        <v>4.4</v>
      </c>
      <c r="F30" s="29">
        <v>67</v>
      </c>
      <c r="G30" s="116">
        <v>98</v>
      </c>
      <c r="H30" s="115">
        <v>27.6</v>
      </c>
      <c r="I30" s="1">
        <f t="shared" si="10"/>
        <v>356444.845</v>
      </c>
      <c r="J30" s="1">
        <f t="shared" si="11"/>
        <v>72946.852</v>
      </c>
      <c r="K30" s="1">
        <f t="shared" si="12"/>
        <v>1110781.61</v>
      </c>
      <c r="L30" s="1">
        <f t="shared" si="13"/>
        <v>1624725.34</v>
      </c>
      <c r="M30" s="1">
        <f t="shared" si="14"/>
        <v>457575.70800000004</v>
      </c>
      <c r="N30" s="12">
        <f t="shared" si="59"/>
        <v>-0.0031200000000000117</v>
      </c>
      <c r="O30" s="12">
        <f t="shared" si="60"/>
        <v>-0.01764</v>
      </c>
      <c r="P30" s="12">
        <f t="shared" si="61"/>
        <v>0.04329000000000003</v>
      </c>
      <c r="Q30" s="12">
        <f t="shared" si="62"/>
        <v>0.36656</v>
      </c>
      <c r="R30" s="12">
        <f t="shared" si="63"/>
        <v>0.14869800000000002</v>
      </c>
      <c r="S30" s="1">
        <f t="shared" si="15"/>
        <v>560883.96821688</v>
      </c>
      <c r="T30" s="2">
        <f t="shared" si="16"/>
        <v>0.33831336</v>
      </c>
      <c r="U30" s="1">
        <f t="shared" si="17"/>
        <v>64501.6563449412</v>
      </c>
      <c r="V30" s="1">
        <f t="shared" si="18"/>
        <v>39261.8777751816</v>
      </c>
      <c r="W30" s="1">
        <f t="shared" si="19"/>
        <v>19630.9388875908</v>
      </c>
      <c r="X30" s="1">
        <f t="shared" si="20"/>
        <v>91016.17120610282</v>
      </c>
      <c r="Y30" s="1">
        <f t="shared" si="21"/>
        <v>10948.455059593498</v>
      </c>
      <c r="Z30" s="1">
        <f t="shared" si="22"/>
        <v>5474.227529796749</v>
      </c>
      <c r="AA30" s="1">
        <f t="shared" si="23"/>
        <v>25380.50945633038</v>
      </c>
      <c r="AB30" s="1">
        <f t="shared" si="24"/>
        <v>157617.9076610442</v>
      </c>
      <c r="AC30" s="1">
        <f t="shared" si="25"/>
        <v>78808.9538305221</v>
      </c>
      <c r="AD30" s="1">
        <f t="shared" si="26"/>
        <v>365386.96775969345</v>
      </c>
      <c r="AE30" s="1">
        <f t="shared" si="27"/>
        <v>93291.8753042311</v>
      </c>
      <c r="AF30" s="1">
        <f t="shared" si="28"/>
        <v>46645.93765211555</v>
      </c>
      <c r="AG30" s="1">
        <f t="shared" si="29"/>
        <v>216267.52911435394</v>
      </c>
      <c r="AH30" s="267"/>
      <c r="AI30" s="267"/>
      <c r="AJ30" s="211" t="s">
        <v>682</v>
      </c>
      <c r="AK30" s="219"/>
      <c r="AL30" s="219"/>
      <c r="AM30" s="220"/>
      <c r="AN30" s="267"/>
      <c r="AP30" t="s">
        <v>26</v>
      </c>
      <c r="AQ30" s="10" t="s">
        <v>157</v>
      </c>
      <c r="AR30" s="1">
        <v>1657883</v>
      </c>
      <c r="AS30" s="1">
        <v>560883.96821688</v>
      </c>
      <c r="AT30" s="1">
        <v>280441.98410844</v>
      </c>
      <c r="AU30" s="1">
        <v>1300231.0172300402</v>
      </c>
      <c r="AV30" s="1">
        <v>64501.6563449412</v>
      </c>
      <c r="AW30" s="1">
        <v>44870.7174573504</v>
      </c>
      <c r="AX30" s="1">
        <v>185091.7095115704</v>
      </c>
      <c r="AY30" s="1">
        <f t="shared" si="30"/>
        <v>11803.80311112424</v>
      </c>
      <c r="AZ30" s="1">
        <f t="shared" si="31"/>
        <v>6900.031146638786</v>
      </c>
      <c r="BA30" s="1">
        <f t="shared" si="32"/>
        <v>16293.969814595901</v>
      </c>
      <c r="BB30" s="1">
        <f t="shared" si="33"/>
        <v>3741.0960680065896</v>
      </c>
      <c r="BC30" s="1">
        <f t="shared" si="34"/>
        <v>0</v>
      </c>
      <c r="BD30" s="1">
        <f t="shared" si="35"/>
        <v>8960.299192482582</v>
      </c>
      <c r="BE30" s="1">
        <f t="shared" si="36"/>
        <v>8385.215324842356</v>
      </c>
      <c r="BF30" s="1">
        <f t="shared" si="37"/>
        <v>5391.693453873635</v>
      </c>
      <c r="BG30" s="1">
        <f t="shared" si="38"/>
        <v>12980.31332285597</v>
      </c>
      <c r="BH30" s="1">
        <f t="shared" si="39"/>
        <v>2580.066253797648</v>
      </c>
      <c r="BI30" s="1">
        <f t="shared" si="40"/>
        <v>1290.033126898824</v>
      </c>
      <c r="BJ30" s="1">
        <f t="shared" si="41"/>
        <v>4607.9983292826</v>
      </c>
      <c r="BL30" s="2">
        <v>0.64</v>
      </c>
      <c r="BM30" s="2">
        <v>0</v>
      </c>
      <c r="BO30" s="1">
        <f t="shared" si="42"/>
        <v>11803.80311112424</v>
      </c>
      <c r="BP30" s="1">
        <f t="shared" si="43"/>
        <v>6900.031146638786</v>
      </c>
      <c r="BQ30" s="1">
        <f t="shared" si="44"/>
        <v>16293.969814595901</v>
      </c>
      <c r="BR30" s="1">
        <f t="shared" si="45"/>
        <v>1825.6548811872156</v>
      </c>
      <c r="BS30" s="1">
        <f t="shared" si="46"/>
        <v>0</v>
      </c>
      <c r="BT30" s="1">
        <f t="shared" si="47"/>
        <v>4372.6260059315</v>
      </c>
      <c r="BU30" s="1">
        <f t="shared" si="48"/>
        <v>8385.215324842356</v>
      </c>
      <c r="BV30" s="1">
        <f t="shared" si="49"/>
        <v>5391.693453873635</v>
      </c>
      <c r="BW30" s="1">
        <f t="shared" si="50"/>
        <v>12980.31332285597</v>
      </c>
      <c r="BX30" s="1">
        <f t="shared" si="51"/>
        <v>2580.066253797648</v>
      </c>
      <c r="BY30" s="1">
        <f t="shared" si="52"/>
        <v>1290.033126898824</v>
      </c>
      <c r="BZ30" s="1">
        <f t="shared" si="53"/>
        <v>4607.9983292826</v>
      </c>
      <c r="CA30" s="1">
        <f t="shared" si="54"/>
        <v>62586.21515812183</v>
      </c>
      <c r="CB30" s="1">
        <f t="shared" si="55"/>
        <v>44870.7174573504</v>
      </c>
      <c r="CC30" s="1">
        <f t="shared" si="56"/>
        <v>180504.03632501932</v>
      </c>
      <c r="CD30" s="1">
        <f t="shared" si="1"/>
        <v>546525.3386305278</v>
      </c>
      <c r="CE30" s="1">
        <f t="shared" si="2"/>
        <v>273262.6693152639</v>
      </c>
      <c r="CF30" s="1">
        <f t="shared" si="3"/>
        <v>1266945.103188951</v>
      </c>
      <c r="CG30" t="s">
        <v>26</v>
      </c>
      <c r="CH30" s="10" t="s">
        <v>157</v>
      </c>
      <c r="CI30" s="1">
        <v>1657883</v>
      </c>
      <c r="CJ30" s="102">
        <v>1966.882</v>
      </c>
      <c r="CK30" s="1">
        <v>5917.684</v>
      </c>
      <c r="CL30" s="1">
        <f t="shared" si="57"/>
        <v>7884.566000000001</v>
      </c>
      <c r="CM30" s="1">
        <v>2060.42898910764</v>
      </c>
      <c r="CN30" s="1">
        <v>5628.53259507635</v>
      </c>
      <c r="CO30" s="1">
        <f t="shared" si="58"/>
        <v>7688.9615841839895</v>
      </c>
      <c r="CP30" s="1">
        <f t="shared" si="4"/>
        <v>2534.281738147043</v>
      </c>
      <c r="CQ30" s="1">
        <f t="shared" si="5"/>
        <v>1341.723796440106</v>
      </c>
      <c r="CR30" s="1">
        <f t="shared" si="6"/>
        <v>3503.090897754226</v>
      </c>
      <c r="CS30" s="1">
        <f t="shared" si="7"/>
        <v>895.1597506557691</v>
      </c>
      <c r="CT30" s="1">
        <f t="shared" si="8"/>
        <v>115.0965084960391</v>
      </c>
      <c r="CU30" s="1">
        <f t="shared" si="9"/>
        <v>1660.551568794732</v>
      </c>
      <c r="CW30" s="209" t="s">
        <v>609</v>
      </c>
      <c r="CX30" s="205"/>
      <c r="CY30" s="205"/>
      <c r="CZ30" s="205"/>
      <c r="DA30" s="205"/>
      <c r="DB30" s="205"/>
      <c r="DC30" s="205"/>
      <c r="DD30" s="186"/>
    </row>
    <row r="31" spans="1:108" ht="12.75">
      <c r="A31" t="s">
        <v>27</v>
      </c>
      <c r="B31" s="1">
        <v>240350</v>
      </c>
      <c r="C31" s="10" t="s">
        <v>14</v>
      </c>
      <c r="D31" s="113">
        <v>18</v>
      </c>
      <c r="E31" s="113">
        <v>11</v>
      </c>
      <c r="F31" s="113">
        <v>62</v>
      </c>
      <c r="G31" s="113">
        <v>98</v>
      </c>
      <c r="H31" s="107">
        <v>22.1</v>
      </c>
      <c r="I31" s="1">
        <f t="shared" si="10"/>
        <v>43263</v>
      </c>
      <c r="J31" s="1">
        <f t="shared" si="11"/>
        <v>26438.5</v>
      </c>
      <c r="K31" s="1">
        <f t="shared" si="12"/>
        <v>149017</v>
      </c>
      <c r="L31" s="1">
        <f t="shared" si="13"/>
        <v>235543</v>
      </c>
      <c r="M31" s="1">
        <f t="shared" si="14"/>
        <v>53117.35</v>
      </c>
      <c r="N31" s="12">
        <f t="shared" si="59"/>
        <v>-0.031120000000000016</v>
      </c>
      <c r="O31" s="12">
        <f t="shared" si="60"/>
        <v>0.008760000000000002</v>
      </c>
      <c r="P31" s="12">
        <f t="shared" si="61"/>
        <v>0.028290000000000013</v>
      </c>
      <c r="Q31" s="12">
        <f t="shared" si="62"/>
        <v>0.36656</v>
      </c>
      <c r="R31" s="12">
        <f t="shared" si="63"/>
        <v>0.09424800000000001</v>
      </c>
      <c r="S31" s="1">
        <f t="shared" si="15"/>
        <v>77556.705226</v>
      </c>
      <c r="T31" s="2">
        <f t="shared" si="16"/>
        <v>0.32268236</v>
      </c>
      <c r="U31" s="1">
        <f t="shared" si="17"/>
        <v>8919.021100990001</v>
      </c>
      <c r="V31" s="1">
        <f t="shared" si="18"/>
        <v>5428.969365820001</v>
      </c>
      <c r="W31" s="1">
        <f t="shared" si="19"/>
        <v>2714.4846829100006</v>
      </c>
      <c r="X31" s="1">
        <f t="shared" si="20"/>
        <v>12585.338075310001</v>
      </c>
      <c r="Y31" s="1">
        <f t="shared" si="21"/>
        <v>1216.0891379436798</v>
      </c>
      <c r="Z31" s="1">
        <f t="shared" si="22"/>
        <v>608.0445689718399</v>
      </c>
      <c r="AA31" s="1">
        <f t="shared" si="23"/>
        <v>2819.1157288694403</v>
      </c>
      <c r="AB31" s="1">
        <f t="shared" si="24"/>
        <v>21687.38623204818</v>
      </c>
      <c r="AC31" s="1">
        <f t="shared" si="25"/>
        <v>10843.69311602409</v>
      </c>
      <c r="AD31" s="1">
        <f t="shared" si="26"/>
        <v>50275.304447020775</v>
      </c>
      <c r="AE31" s="1">
        <f t="shared" si="27"/>
        <v>12836.466122783024</v>
      </c>
      <c r="AF31" s="1">
        <f t="shared" si="28"/>
        <v>6418.233061391512</v>
      </c>
      <c r="AG31" s="1">
        <f t="shared" si="29"/>
        <v>29757.26237554246</v>
      </c>
      <c r="AH31" s="15"/>
      <c r="AI31" s="15"/>
      <c r="AJ31" s="211" t="s">
        <v>475</v>
      </c>
      <c r="AK31" s="219"/>
      <c r="AL31" s="219"/>
      <c r="AM31" s="220"/>
      <c r="AN31" s="15"/>
      <c r="AP31" t="s">
        <v>27</v>
      </c>
      <c r="AQ31" s="10" t="s">
        <v>157</v>
      </c>
      <c r="AR31" s="1">
        <v>240350</v>
      </c>
      <c r="AS31" s="1">
        <v>77556.705226</v>
      </c>
      <c r="AT31" s="1">
        <v>38778.352613</v>
      </c>
      <c r="AU31" s="1">
        <v>179790.543933</v>
      </c>
      <c r="AV31" s="1">
        <v>8919.021100990001</v>
      </c>
      <c r="AW31" s="1">
        <v>6204.536418080001</v>
      </c>
      <c r="AX31" s="1">
        <v>25593.712724580004</v>
      </c>
      <c r="AY31" s="1">
        <f t="shared" si="30"/>
        <v>1632.1808614811703</v>
      </c>
      <c r="AZ31" s="1">
        <f t="shared" si="31"/>
        <v>954.1076443874329</v>
      </c>
      <c r="BA31" s="1">
        <f t="shared" si="32"/>
        <v>2253.0624611886074</v>
      </c>
      <c r="BB31" s="1">
        <f t="shared" si="33"/>
        <v>517.3032238574201</v>
      </c>
      <c r="BC31" s="1">
        <f t="shared" si="34"/>
        <v>0</v>
      </c>
      <c r="BD31" s="1">
        <f t="shared" si="35"/>
        <v>1238.9929514609069</v>
      </c>
      <c r="BE31" s="1">
        <f t="shared" si="36"/>
        <v>1159.4727431287001</v>
      </c>
      <c r="BF31" s="1">
        <f t="shared" si="37"/>
        <v>745.5409738317542</v>
      </c>
      <c r="BG31" s="1">
        <f t="shared" si="38"/>
        <v>1794.863806363228</v>
      </c>
      <c r="BH31" s="1">
        <f t="shared" si="39"/>
        <v>356.76084403960004</v>
      </c>
      <c r="BI31" s="1">
        <f t="shared" si="40"/>
        <v>178.38042201980002</v>
      </c>
      <c r="BJ31" s="1">
        <f t="shared" si="41"/>
        <v>637.1748674547257</v>
      </c>
      <c r="BL31" s="2">
        <v>0.76</v>
      </c>
      <c r="BM31" s="2">
        <v>0</v>
      </c>
      <c r="BO31" s="1">
        <f t="shared" si="42"/>
        <v>1632.1808614811703</v>
      </c>
      <c r="BP31" s="1">
        <f t="shared" si="43"/>
        <v>954.1076443874329</v>
      </c>
      <c r="BQ31" s="1">
        <f t="shared" si="44"/>
        <v>2253.0624611886074</v>
      </c>
      <c r="BR31" s="1">
        <f t="shared" si="45"/>
        <v>202.78286375210865</v>
      </c>
      <c r="BS31" s="1">
        <f t="shared" si="46"/>
        <v>0</v>
      </c>
      <c r="BT31" s="1">
        <f t="shared" si="47"/>
        <v>485.6852369726755</v>
      </c>
      <c r="BU31" s="1">
        <f t="shared" si="48"/>
        <v>1159.4727431287001</v>
      </c>
      <c r="BV31" s="1">
        <f t="shared" si="49"/>
        <v>745.5409738317542</v>
      </c>
      <c r="BW31" s="1">
        <f t="shared" si="50"/>
        <v>1794.863806363228</v>
      </c>
      <c r="BX31" s="1">
        <f t="shared" si="51"/>
        <v>356.76084403960004</v>
      </c>
      <c r="BY31" s="1">
        <f t="shared" si="52"/>
        <v>178.38042201980002</v>
      </c>
      <c r="BZ31" s="1">
        <f t="shared" si="53"/>
        <v>637.1748674547257</v>
      </c>
      <c r="CA31" s="1">
        <f t="shared" si="54"/>
        <v>8604.50074088469</v>
      </c>
      <c r="CB31" s="1">
        <f t="shared" si="55"/>
        <v>6204.536418080001</v>
      </c>
      <c r="CC31" s="1">
        <f t="shared" si="56"/>
        <v>24840.405010091774</v>
      </c>
      <c r="CD31" s="1">
        <f t="shared" si="1"/>
        <v>75198.9813871296</v>
      </c>
      <c r="CE31" s="1">
        <f t="shared" si="2"/>
        <v>37599.4906935648</v>
      </c>
      <c r="CF31" s="1">
        <f t="shared" si="3"/>
        <v>174324.9113974368</v>
      </c>
      <c r="CG31" t="s">
        <v>27</v>
      </c>
      <c r="CH31" s="10" t="s">
        <v>157</v>
      </c>
      <c r="CI31" s="1">
        <v>240350</v>
      </c>
      <c r="CJ31" s="102">
        <v>303.7049</v>
      </c>
      <c r="CK31" s="1">
        <v>1153.571</v>
      </c>
      <c r="CL31" s="1">
        <f t="shared" si="57"/>
        <v>1457.2758999999999</v>
      </c>
      <c r="CM31" s="1">
        <v>335.653247144697</v>
      </c>
      <c r="CN31" s="1">
        <v>1256.02538132794</v>
      </c>
      <c r="CO31" s="1">
        <f t="shared" si="58"/>
        <v>1591.678628472637</v>
      </c>
      <c r="CP31" s="1">
        <f t="shared" si="4"/>
        <v>524.6172759445811</v>
      </c>
      <c r="CQ31" s="1">
        <f t="shared" si="5"/>
        <v>277.74792066847516</v>
      </c>
      <c r="CR31" s="1">
        <f t="shared" si="6"/>
        <v>725.1687831321334</v>
      </c>
      <c r="CS31" s="1">
        <f t="shared" si="7"/>
        <v>152.34093463807164</v>
      </c>
      <c r="CT31" s="1">
        <f t="shared" si="8"/>
        <v>19.195386280029858</v>
      </c>
      <c r="CU31" s="1">
        <f t="shared" si="9"/>
        <v>288.37708044843004</v>
      </c>
      <c r="CW31" s="211" t="s">
        <v>610</v>
      </c>
      <c r="CX31" s="219"/>
      <c r="CY31" s="219"/>
      <c r="CZ31" s="219"/>
      <c r="DA31" s="219"/>
      <c r="DB31" s="219"/>
      <c r="DC31" s="219"/>
      <c r="DD31" s="186"/>
    </row>
    <row r="32" spans="1:108" ht="12.75">
      <c r="A32" t="s">
        <v>28</v>
      </c>
      <c r="B32" s="1">
        <v>680701</v>
      </c>
      <c r="C32" s="10" t="s">
        <v>14</v>
      </c>
      <c r="D32" s="116">
        <v>17.8</v>
      </c>
      <c r="E32" s="106">
        <v>2.5</v>
      </c>
      <c r="F32" s="106">
        <v>64.8</v>
      </c>
      <c r="G32" s="116">
        <v>99</v>
      </c>
      <c r="H32" s="116">
        <v>22.3</v>
      </c>
      <c r="I32" s="1">
        <f t="shared" si="10"/>
        <v>121164.778</v>
      </c>
      <c r="J32" s="1">
        <f t="shared" si="11"/>
        <v>17017.525</v>
      </c>
      <c r="K32" s="1">
        <f t="shared" si="12"/>
        <v>441094.24799999996</v>
      </c>
      <c r="L32" s="1">
        <f t="shared" si="13"/>
        <v>673893.99</v>
      </c>
      <c r="M32" s="1">
        <f t="shared" si="14"/>
        <v>151796.323</v>
      </c>
      <c r="N32" s="12">
        <f t="shared" si="59"/>
        <v>-0.03271999999999999</v>
      </c>
      <c r="O32" s="12">
        <f t="shared" si="60"/>
        <v>-0.02524</v>
      </c>
      <c r="P32" s="12">
        <f t="shared" si="61"/>
        <v>0.03669000000000002</v>
      </c>
      <c r="Q32" s="12">
        <f t="shared" si="62"/>
        <v>0.37456</v>
      </c>
      <c r="R32" s="12">
        <f t="shared" si="63"/>
        <v>0.09622800000000001</v>
      </c>
      <c r="S32" s="1">
        <f t="shared" si="15"/>
        <v>217071.43746595999</v>
      </c>
      <c r="T32" s="2">
        <f t="shared" si="16"/>
        <v>0.31889396</v>
      </c>
      <c r="U32" s="1">
        <f t="shared" si="17"/>
        <v>24963.2153085854</v>
      </c>
      <c r="V32" s="1">
        <f t="shared" si="18"/>
        <v>15195.0006226172</v>
      </c>
      <c r="W32" s="1">
        <f t="shared" si="19"/>
        <v>7597.5003113086</v>
      </c>
      <c r="X32" s="1">
        <f t="shared" si="20"/>
        <v>35224.7741706126</v>
      </c>
      <c r="Y32" s="1">
        <f t="shared" si="21"/>
        <v>5418.103079150362</v>
      </c>
      <c r="Z32" s="1">
        <f t="shared" si="22"/>
        <v>2709.051539575181</v>
      </c>
      <c r="AA32" s="1">
        <f t="shared" si="23"/>
        <v>12560.148047121293</v>
      </c>
      <c r="AB32" s="1">
        <f t="shared" si="24"/>
        <v>61426.45859695742</v>
      </c>
      <c r="AC32" s="1">
        <f t="shared" si="25"/>
        <v>30713.22929847871</v>
      </c>
      <c r="AD32" s="1">
        <f t="shared" si="26"/>
        <v>142397.69947476493</v>
      </c>
      <c r="AE32" s="1">
        <f t="shared" si="27"/>
        <v>36357.47740118111</v>
      </c>
      <c r="AF32" s="1">
        <f t="shared" si="28"/>
        <v>18178.738700590555</v>
      </c>
      <c r="AG32" s="1">
        <f t="shared" si="29"/>
        <v>84283.24306637439</v>
      </c>
      <c r="AH32" s="15"/>
      <c r="AI32" s="15"/>
      <c r="AJ32" s="211" t="s">
        <v>683</v>
      </c>
      <c r="AK32" s="219"/>
      <c r="AL32" s="219"/>
      <c r="AM32" s="220"/>
      <c r="AN32" s="15"/>
      <c r="AP32" t="s">
        <v>28</v>
      </c>
      <c r="AQ32" s="10" t="s">
        <v>157</v>
      </c>
      <c r="AR32" s="1">
        <v>680701</v>
      </c>
      <c r="AS32" s="1">
        <v>217071.43746595999</v>
      </c>
      <c r="AT32" s="1">
        <v>108535.71873297999</v>
      </c>
      <c r="AU32" s="1">
        <v>503211.05958018</v>
      </c>
      <c r="AV32" s="1">
        <v>24963.2153085854</v>
      </c>
      <c r="AW32" s="1">
        <v>17365.7149972768</v>
      </c>
      <c r="AX32" s="1">
        <v>71633.5743637668</v>
      </c>
      <c r="AY32" s="1">
        <f t="shared" si="30"/>
        <v>4568.2684014711285</v>
      </c>
      <c r="AZ32" s="1">
        <f t="shared" si="31"/>
        <v>2670.4269767639626</v>
      </c>
      <c r="BA32" s="1">
        <f t="shared" si="32"/>
        <v>6306.037701390746</v>
      </c>
      <c r="BB32" s="1">
        <f t="shared" si="33"/>
        <v>1447.8664878979532</v>
      </c>
      <c r="BC32" s="1">
        <f t="shared" si="34"/>
        <v>0</v>
      </c>
      <c r="BD32" s="1">
        <f t="shared" si="35"/>
        <v>3467.7850251643877</v>
      </c>
      <c r="BE32" s="1">
        <f t="shared" si="36"/>
        <v>3245.217990116102</v>
      </c>
      <c r="BF32" s="1">
        <f t="shared" si="37"/>
        <v>2086.675167644654</v>
      </c>
      <c r="BG32" s="1">
        <f t="shared" si="38"/>
        <v>5023.597448699727</v>
      </c>
      <c r="BH32" s="1">
        <f t="shared" si="39"/>
        <v>998.5286123434161</v>
      </c>
      <c r="BI32" s="1">
        <f t="shared" si="40"/>
        <v>499.26430617170803</v>
      </c>
      <c r="BJ32" s="1">
        <f t="shared" si="41"/>
        <v>1783.3721016453412</v>
      </c>
      <c r="BL32" s="2">
        <v>0.47</v>
      </c>
      <c r="BM32" s="2">
        <v>0</v>
      </c>
      <c r="BO32" s="1">
        <f t="shared" si="42"/>
        <v>4568.2684014711285</v>
      </c>
      <c r="BP32" s="1">
        <f t="shared" si="43"/>
        <v>2670.4269767639626</v>
      </c>
      <c r="BQ32" s="1">
        <f t="shared" si="44"/>
        <v>6306.037701390746</v>
      </c>
      <c r="BR32" s="1">
        <f t="shared" si="45"/>
        <v>903.4686884483228</v>
      </c>
      <c r="BS32" s="1">
        <f t="shared" si="46"/>
        <v>0</v>
      </c>
      <c r="BT32" s="1">
        <f t="shared" si="47"/>
        <v>2163.8978557025775</v>
      </c>
      <c r="BU32" s="1">
        <f t="shared" si="48"/>
        <v>3245.217990116102</v>
      </c>
      <c r="BV32" s="1">
        <f t="shared" si="49"/>
        <v>2086.675167644654</v>
      </c>
      <c r="BW32" s="1">
        <f t="shared" si="50"/>
        <v>5023.597448699727</v>
      </c>
      <c r="BX32" s="1">
        <f t="shared" si="51"/>
        <v>998.5286123434161</v>
      </c>
      <c r="BY32" s="1">
        <f t="shared" si="52"/>
        <v>499.26430617170803</v>
      </c>
      <c r="BZ32" s="1">
        <f t="shared" si="53"/>
        <v>1783.3721016453412</v>
      </c>
      <c r="CA32" s="1">
        <f t="shared" si="54"/>
        <v>24418.81750913577</v>
      </c>
      <c r="CB32" s="1">
        <f t="shared" si="55"/>
        <v>17365.7149972768</v>
      </c>
      <c r="CC32" s="1">
        <f t="shared" si="56"/>
        <v>70329.68719430499</v>
      </c>
      <c r="CD32" s="1">
        <f t="shared" si="1"/>
        <v>212990.49444159993</v>
      </c>
      <c r="CE32" s="1">
        <f t="shared" si="2"/>
        <v>106495.24722079997</v>
      </c>
      <c r="CF32" s="1">
        <f t="shared" si="3"/>
        <v>493750.6916600726</v>
      </c>
      <c r="CG32" t="s">
        <v>28</v>
      </c>
      <c r="CH32" s="10" t="s">
        <v>157</v>
      </c>
      <c r="CI32" s="1">
        <v>680701</v>
      </c>
      <c r="CJ32" s="102">
        <v>402.6082</v>
      </c>
      <c r="CK32" s="1">
        <v>1980.172</v>
      </c>
      <c r="CL32" s="1">
        <f t="shared" si="57"/>
        <v>2382.7802</v>
      </c>
      <c r="CM32" s="1">
        <v>330.147954604509</v>
      </c>
      <c r="CN32" s="1">
        <v>1281.02069086573</v>
      </c>
      <c r="CO32" s="1">
        <f t="shared" si="58"/>
        <v>1611.168645470239</v>
      </c>
      <c r="CP32" s="1">
        <f t="shared" si="4"/>
        <v>531.0411855469907</v>
      </c>
      <c r="CQ32" s="1">
        <f t="shared" si="5"/>
        <v>281.1489286345567</v>
      </c>
      <c r="CR32" s="1">
        <f t="shared" si="6"/>
        <v>734.0484348762409</v>
      </c>
      <c r="CS32" s="1">
        <f t="shared" si="7"/>
        <v>232.3119598331929</v>
      </c>
      <c r="CT32" s="1">
        <f t="shared" si="8"/>
        <v>30.710879064106305</v>
      </c>
      <c r="CU32" s="1">
        <f t="shared" si="9"/>
        <v>419.66998593405606</v>
      </c>
      <c r="CW32" s="211"/>
      <c r="CX32" s="219"/>
      <c r="CY32" s="219"/>
      <c r="CZ32" s="219"/>
      <c r="DA32" s="219"/>
      <c r="DB32" s="219"/>
      <c r="DC32" s="219"/>
      <c r="DD32" s="186"/>
    </row>
    <row r="33" spans="1:108" ht="12.75">
      <c r="A33" t="s">
        <v>29</v>
      </c>
      <c r="B33" s="1">
        <v>3305278</v>
      </c>
      <c r="C33" s="10" t="s">
        <v>14</v>
      </c>
      <c r="D33" s="113">
        <v>45</v>
      </c>
      <c r="E33" s="29">
        <v>5.1</v>
      </c>
      <c r="F33" s="29">
        <v>36.9</v>
      </c>
      <c r="G33" s="106">
        <v>99</v>
      </c>
      <c r="H33" s="115">
        <v>12.5</v>
      </c>
      <c r="I33" s="1">
        <f t="shared" si="10"/>
        <v>1487375.1</v>
      </c>
      <c r="J33" s="1">
        <f t="shared" si="11"/>
        <v>168569.17799999996</v>
      </c>
      <c r="K33" s="1">
        <f t="shared" si="12"/>
        <v>1219647.582</v>
      </c>
      <c r="L33" s="1">
        <f t="shared" si="13"/>
        <v>3272225.22</v>
      </c>
      <c r="M33" s="1">
        <f t="shared" si="14"/>
        <v>413159.75</v>
      </c>
      <c r="N33" s="12">
        <f t="shared" si="59"/>
        <v>0.18488000000000002</v>
      </c>
      <c r="O33" s="12">
        <f t="shared" si="60"/>
        <v>-0.01484</v>
      </c>
      <c r="P33" s="12">
        <f t="shared" si="61"/>
        <v>-0.04700999999999998</v>
      </c>
      <c r="Q33" s="12">
        <f t="shared" si="62"/>
        <v>0.37456</v>
      </c>
      <c r="R33" s="12">
        <f t="shared" si="63"/>
        <v>-0.0007919999999999952</v>
      </c>
      <c r="S33" s="1">
        <f t="shared" si="15"/>
        <v>1088413.3699656802</v>
      </c>
      <c r="T33" s="2">
        <f t="shared" si="16"/>
        <v>0.32929556000000004</v>
      </c>
      <c r="U33" s="1">
        <f t="shared" si="17"/>
        <v>125167.53754605322</v>
      </c>
      <c r="V33" s="1">
        <f t="shared" si="18"/>
        <v>76188.93589759762</v>
      </c>
      <c r="W33" s="1">
        <f t="shared" si="19"/>
        <v>38094.46794879881</v>
      </c>
      <c r="X33" s="1">
        <f t="shared" si="20"/>
        <v>176619.80594443082</v>
      </c>
      <c r="Y33" s="1">
        <f t="shared" si="21"/>
        <v>13931.691135560704</v>
      </c>
      <c r="Z33" s="1">
        <f t="shared" si="22"/>
        <v>6965.845567780352</v>
      </c>
      <c r="AA33" s="1">
        <f t="shared" si="23"/>
        <v>32296.193086981628</v>
      </c>
      <c r="AB33" s="1">
        <f t="shared" si="24"/>
        <v>303225.8697575667</v>
      </c>
      <c r="AC33" s="1">
        <f t="shared" si="25"/>
        <v>151612.93487878336</v>
      </c>
      <c r="AD33" s="1">
        <f t="shared" si="26"/>
        <v>702932.698074359</v>
      </c>
      <c r="AE33" s="1">
        <f t="shared" si="27"/>
        <v>179475.2287365348</v>
      </c>
      <c r="AF33" s="1">
        <f t="shared" si="28"/>
        <v>89737.6143682674</v>
      </c>
      <c r="AG33" s="1">
        <f t="shared" si="29"/>
        <v>416056.2120710578</v>
      </c>
      <c r="AH33" s="15"/>
      <c r="AI33" s="15"/>
      <c r="AJ33" s="215" t="s">
        <v>476</v>
      </c>
      <c r="AK33" s="221"/>
      <c r="AL33" s="221"/>
      <c r="AM33" s="222"/>
      <c r="AN33" s="15"/>
      <c r="AP33" t="s">
        <v>29</v>
      </c>
      <c r="AQ33" s="10" t="s">
        <v>157</v>
      </c>
      <c r="AR33" s="1">
        <v>3305278</v>
      </c>
      <c r="AS33" s="1">
        <v>1088413.3699656802</v>
      </c>
      <c r="AT33" s="1">
        <v>544206.6849828401</v>
      </c>
      <c r="AU33" s="1">
        <v>2523140.08492044</v>
      </c>
      <c r="AV33" s="1">
        <v>125167.53754605322</v>
      </c>
      <c r="AW33" s="1">
        <v>87073.06959725442</v>
      </c>
      <c r="AX33" s="1">
        <v>359176.4120886745</v>
      </c>
      <c r="AY33" s="1">
        <f t="shared" si="30"/>
        <v>22905.65937092774</v>
      </c>
      <c r="AZ33" s="1">
        <f t="shared" si="31"/>
        <v>13389.732241869518</v>
      </c>
      <c r="BA33" s="1">
        <f t="shared" si="32"/>
        <v>31618.972195628656</v>
      </c>
      <c r="BB33" s="1">
        <f t="shared" si="33"/>
        <v>7259.7171776710875</v>
      </c>
      <c r="BC33" s="1">
        <f t="shared" si="34"/>
        <v>0</v>
      </c>
      <c r="BD33" s="1">
        <f t="shared" si="35"/>
        <v>17387.74861224002</v>
      </c>
      <c r="BE33" s="1">
        <f t="shared" si="36"/>
        <v>16271.77988098692</v>
      </c>
      <c r="BF33" s="1">
        <f t="shared" si="37"/>
        <v>10462.75446347459</v>
      </c>
      <c r="BG33" s="1">
        <f t="shared" si="38"/>
        <v>25188.715255767755</v>
      </c>
      <c r="BH33" s="1">
        <f t="shared" si="39"/>
        <v>5006.701501842129</v>
      </c>
      <c r="BI33" s="1">
        <f t="shared" si="40"/>
        <v>2503.3507509210644</v>
      </c>
      <c r="BJ33" s="1">
        <f t="shared" si="41"/>
        <v>8941.968882290043</v>
      </c>
      <c r="BL33" s="2">
        <v>0.85</v>
      </c>
      <c r="BM33" s="2">
        <v>0</v>
      </c>
      <c r="BO33" s="1">
        <f t="shared" si="42"/>
        <v>22905.65937092774</v>
      </c>
      <c r="BP33" s="1">
        <f t="shared" si="43"/>
        <v>13389.732241869518</v>
      </c>
      <c r="BQ33" s="1">
        <f t="shared" si="44"/>
        <v>31618.972195628656</v>
      </c>
      <c r="BR33" s="1">
        <f t="shared" si="45"/>
        <v>2323.1094968547477</v>
      </c>
      <c r="BS33" s="1">
        <f t="shared" si="46"/>
        <v>0</v>
      </c>
      <c r="BT33" s="1">
        <f t="shared" si="47"/>
        <v>5564.0795559168055</v>
      </c>
      <c r="BU33" s="1">
        <f t="shared" si="48"/>
        <v>16271.77988098692</v>
      </c>
      <c r="BV33" s="1">
        <f t="shared" si="49"/>
        <v>10462.75446347459</v>
      </c>
      <c r="BW33" s="1">
        <f t="shared" si="50"/>
        <v>25188.715255767755</v>
      </c>
      <c r="BX33" s="1">
        <f t="shared" si="51"/>
        <v>5006.701501842129</v>
      </c>
      <c r="BY33" s="1">
        <f t="shared" si="52"/>
        <v>2503.3507509210644</v>
      </c>
      <c r="BZ33" s="1">
        <f t="shared" si="53"/>
        <v>8941.968882290043</v>
      </c>
      <c r="CA33" s="1">
        <f t="shared" si="54"/>
        <v>120230.92986523689</v>
      </c>
      <c r="CB33" s="1">
        <f t="shared" si="55"/>
        <v>87073.06959725442</v>
      </c>
      <c r="CC33" s="1">
        <f t="shared" si="56"/>
        <v>347352.74303235125</v>
      </c>
      <c r="CD33" s="1">
        <f t="shared" si="1"/>
        <v>1051407.3153868471</v>
      </c>
      <c r="CE33" s="1">
        <f t="shared" si="2"/>
        <v>525703.6576934236</v>
      </c>
      <c r="CF33" s="1">
        <f t="shared" si="3"/>
        <v>2437353.322033145</v>
      </c>
      <c r="CG33" t="s">
        <v>29</v>
      </c>
      <c r="CH33" s="10" t="s">
        <v>157</v>
      </c>
      <c r="CI33" s="1">
        <v>3305278</v>
      </c>
      <c r="CJ33" s="102">
        <v>1002.067</v>
      </c>
      <c r="CK33" s="1">
        <v>7158.923</v>
      </c>
      <c r="CL33" s="1">
        <f t="shared" si="57"/>
        <v>8160.99</v>
      </c>
      <c r="CM33" s="1">
        <v>1053.33240676825</v>
      </c>
      <c r="CN33" s="1">
        <v>6950.62797182462</v>
      </c>
      <c r="CO33" s="1">
        <f t="shared" si="58"/>
        <v>8003.960378592869</v>
      </c>
      <c r="CP33" s="1">
        <f t="shared" si="4"/>
        <v>2638.1053407842096</v>
      </c>
      <c r="CQ33" s="1">
        <f t="shared" si="5"/>
        <v>1396.6910860644557</v>
      </c>
      <c r="CR33" s="1">
        <f t="shared" si="6"/>
        <v>3646.6043484869115</v>
      </c>
      <c r="CS33" s="1">
        <f t="shared" si="7"/>
        <v>636.5502254725451</v>
      </c>
      <c r="CT33" s="1">
        <f t="shared" si="8"/>
        <v>78.97204297321952</v>
      </c>
      <c r="CU33" s="1">
        <f t="shared" si="9"/>
        <v>1224.5383982514131</v>
      </c>
      <c r="CW33" s="211" t="s">
        <v>607</v>
      </c>
      <c r="CX33" s="219"/>
      <c r="CY33" s="219"/>
      <c r="CZ33" s="219"/>
      <c r="DA33" s="219"/>
      <c r="DB33" s="219"/>
      <c r="DC33" s="219"/>
      <c r="DD33" s="186"/>
    </row>
    <row r="34" spans="1:108" ht="12.75">
      <c r="A34" t="s">
        <v>30</v>
      </c>
      <c r="B34" s="1">
        <v>2911668</v>
      </c>
      <c r="C34" s="10" t="s">
        <v>14</v>
      </c>
      <c r="D34" s="113">
        <v>27</v>
      </c>
      <c r="E34" s="110">
        <v>4.4</v>
      </c>
      <c r="F34" s="29">
        <v>54.6</v>
      </c>
      <c r="G34" s="116">
        <v>98</v>
      </c>
      <c r="H34" s="115">
        <v>23.3</v>
      </c>
      <c r="I34" s="1">
        <f t="shared" si="10"/>
        <v>786150.36</v>
      </c>
      <c r="J34" s="1">
        <f t="shared" si="11"/>
        <v>128113.392</v>
      </c>
      <c r="K34" s="1">
        <f t="shared" si="12"/>
        <v>1589770.7280000001</v>
      </c>
      <c r="L34" s="1">
        <f t="shared" si="13"/>
        <v>2853434.64</v>
      </c>
      <c r="M34" s="1">
        <f t="shared" si="14"/>
        <v>678418.6440000001</v>
      </c>
      <c r="N34" s="12">
        <f t="shared" si="59"/>
        <v>0.04088000000000001</v>
      </c>
      <c r="O34" s="12">
        <f t="shared" si="60"/>
        <v>-0.01764</v>
      </c>
      <c r="P34" s="12">
        <f t="shared" si="61"/>
        <v>0.0060900000000000286</v>
      </c>
      <c r="Q34" s="12">
        <f t="shared" si="62"/>
        <v>0.36656</v>
      </c>
      <c r="R34" s="12">
        <f t="shared" si="63"/>
        <v>0.10612800000000001</v>
      </c>
      <c r="S34" s="1">
        <f t="shared" si="15"/>
        <v>962143.1041252799</v>
      </c>
      <c r="T34" s="2">
        <f t="shared" si="16"/>
        <v>0.33044396</v>
      </c>
      <c r="U34" s="1">
        <f t="shared" si="17"/>
        <v>110646.45697440719</v>
      </c>
      <c r="V34" s="1">
        <f t="shared" si="18"/>
        <v>67350.0172887696</v>
      </c>
      <c r="W34" s="1">
        <f t="shared" si="19"/>
        <v>33675.0086443848</v>
      </c>
      <c r="X34" s="1">
        <f t="shared" si="20"/>
        <v>156129.58553305682</v>
      </c>
      <c r="Y34" s="1">
        <f t="shared" si="21"/>
        <v>15086.403872684386</v>
      </c>
      <c r="Z34" s="1">
        <f t="shared" si="22"/>
        <v>7543.201936342193</v>
      </c>
      <c r="AA34" s="1">
        <f t="shared" si="23"/>
        <v>34973.02715940472</v>
      </c>
      <c r="AB34" s="1">
        <f t="shared" si="24"/>
        <v>269046.6162643469</v>
      </c>
      <c r="AC34" s="1">
        <f t="shared" si="25"/>
        <v>134523.30813217346</v>
      </c>
      <c r="AD34" s="1">
        <f t="shared" si="26"/>
        <v>623698.9740673497</v>
      </c>
      <c r="AE34" s="1">
        <f t="shared" si="27"/>
        <v>159244.99790681005</v>
      </c>
      <c r="AF34" s="1">
        <f t="shared" si="28"/>
        <v>79622.49895340503</v>
      </c>
      <c r="AG34" s="1">
        <f t="shared" si="29"/>
        <v>369158.8587839688</v>
      </c>
      <c r="AP34" t="s">
        <v>30</v>
      </c>
      <c r="AQ34" s="10" t="s">
        <v>157</v>
      </c>
      <c r="AR34" s="1">
        <v>2911668</v>
      </c>
      <c r="AS34" s="1">
        <v>962143.1041252799</v>
      </c>
      <c r="AT34" s="1">
        <v>481071.55206263997</v>
      </c>
      <c r="AU34" s="1">
        <v>2230422.65047224</v>
      </c>
      <c r="AV34" s="1">
        <v>110646.45697440719</v>
      </c>
      <c r="AW34" s="1">
        <v>76971.4483300224</v>
      </c>
      <c r="AX34" s="1">
        <v>317507.2243613424</v>
      </c>
      <c r="AY34" s="1">
        <f t="shared" si="30"/>
        <v>20248.301626316515</v>
      </c>
      <c r="AZ34" s="1">
        <f t="shared" si="31"/>
        <v>11836.347198679581</v>
      </c>
      <c r="BA34" s="1">
        <f t="shared" si="32"/>
        <v>27950.75556496732</v>
      </c>
      <c r="BB34" s="1">
        <f t="shared" si="33"/>
        <v>6417.494504515617</v>
      </c>
      <c r="BC34" s="1">
        <f t="shared" si="34"/>
        <v>0</v>
      </c>
      <c r="BD34" s="1">
        <f t="shared" si="35"/>
        <v>15370.541087765354</v>
      </c>
      <c r="BE34" s="1">
        <f t="shared" si="36"/>
        <v>14384.039406672935</v>
      </c>
      <c r="BF34" s="1">
        <f t="shared" si="37"/>
        <v>9248.937338490698</v>
      </c>
      <c r="BG34" s="1">
        <f t="shared" si="38"/>
        <v>22266.493001529703</v>
      </c>
      <c r="BH34" s="1">
        <f t="shared" si="39"/>
        <v>4425.858278976288</v>
      </c>
      <c r="BI34" s="1">
        <f t="shared" si="40"/>
        <v>2212.929139488144</v>
      </c>
      <c r="BJ34" s="1">
        <f t="shared" si="41"/>
        <v>7904.58288625165</v>
      </c>
      <c r="BL34" s="2">
        <v>0.76</v>
      </c>
      <c r="BM34" s="2">
        <v>0</v>
      </c>
      <c r="BO34" s="1">
        <f t="shared" si="42"/>
        <v>20248.301626316515</v>
      </c>
      <c r="BP34" s="1">
        <f t="shared" si="43"/>
        <v>11836.347198679581</v>
      </c>
      <c r="BQ34" s="1">
        <f t="shared" si="44"/>
        <v>27950.75556496732</v>
      </c>
      <c r="BR34" s="1">
        <f t="shared" si="45"/>
        <v>2515.6578457701216</v>
      </c>
      <c r="BS34" s="1">
        <f t="shared" si="46"/>
        <v>0</v>
      </c>
      <c r="BT34" s="1">
        <f t="shared" si="47"/>
        <v>6025.252106404019</v>
      </c>
      <c r="BU34" s="1">
        <f t="shared" si="48"/>
        <v>14384.039406672935</v>
      </c>
      <c r="BV34" s="1">
        <f t="shared" si="49"/>
        <v>9248.937338490698</v>
      </c>
      <c r="BW34" s="1">
        <f t="shared" si="50"/>
        <v>22266.493001529703</v>
      </c>
      <c r="BX34" s="1">
        <f t="shared" si="51"/>
        <v>4425.858278976288</v>
      </c>
      <c r="BY34" s="1">
        <f t="shared" si="52"/>
        <v>2212.929139488144</v>
      </c>
      <c r="BZ34" s="1">
        <f t="shared" si="53"/>
        <v>7904.58288625165</v>
      </c>
      <c r="CA34" s="1">
        <f t="shared" si="54"/>
        <v>106744.6203156617</v>
      </c>
      <c r="CB34" s="1">
        <f t="shared" si="55"/>
        <v>76971.4483300224</v>
      </c>
      <c r="CC34" s="1">
        <f t="shared" si="56"/>
        <v>308161.93537998106</v>
      </c>
      <c r="CD34" s="1">
        <f t="shared" si="1"/>
        <v>932893.9537598714</v>
      </c>
      <c r="CE34" s="1">
        <f t="shared" si="2"/>
        <v>466446.9768799357</v>
      </c>
      <c r="CF34" s="1">
        <f t="shared" si="3"/>
        <v>2162617.801897884</v>
      </c>
      <c r="CG34" t="s">
        <v>30</v>
      </c>
      <c r="CH34" s="10" t="s">
        <v>157</v>
      </c>
      <c r="CI34" s="1">
        <v>2911668</v>
      </c>
      <c r="CJ34" s="102">
        <v>6532.404</v>
      </c>
      <c r="CK34" s="1">
        <v>17945.76</v>
      </c>
      <c r="CL34" s="1">
        <f t="shared" si="57"/>
        <v>24478.163999999997</v>
      </c>
      <c r="CM34" s="1">
        <v>6873.14328414</v>
      </c>
      <c r="CN34" s="1">
        <v>17073.5456453115</v>
      </c>
      <c r="CO34" s="1">
        <f t="shared" si="58"/>
        <v>23946.6889294515</v>
      </c>
      <c r="CP34" s="1">
        <f t="shared" si="4"/>
        <v>7892.828671147214</v>
      </c>
      <c r="CQ34" s="1">
        <f t="shared" si="5"/>
        <v>4178.697218189286</v>
      </c>
      <c r="CR34" s="1">
        <f t="shared" si="6"/>
        <v>10910.111476258104</v>
      </c>
      <c r="CS34" s="1">
        <f t="shared" si="7"/>
        <v>2291.9582557318477</v>
      </c>
      <c r="CT34" s="1">
        <f t="shared" si="8"/>
        <v>288.7931872086693</v>
      </c>
      <c r="CU34" s="1">
        <f t="shared" si="9"/>
        <v>4338.6121521959485</v>
      </c>
      <c r="CW34" s="211"/>
      <c r="CX34" s="219"/>
      <c r="CY34" s="219"/>
      <c r="CZ34" s="219"/>
      <c r="DA34" s="219"/>
      <c r="DB34" s="219"/>
      <c r="DC34" s="219"/>
      <c r="DD34" s="186"/>
    </row>
    <row r="35" spans="1:108" ht="12.75">
      <c r="A35" t="s">
        <v>31</v>
      </c>
      <c r="B35" s="1">
        <v>513267</v>
      </c>
      <c r="C35" s="10" t="s">
        <v>14</v>
      </c>
      <c r="D35" s="113">
        <v>27.6</v>
      </c>
      <c r="E35" s="106">
        <v>9.9</v>
      </c>
      <c r="F35" s="29">
        <v>72.3</v>
      </c>
      <c r="G35" s="113">
        <v>62</v>
      </c>
      <c r="H35" s="115">
        <v>25.7</v>
      </c>
      <c r="I35" s="1">
        <f t="shared" si="10"/>
        <v>141661.692</v>
      </c>
      <c r="J35" s="1">
        <f t="shared" si="11"/>
        <v>50813.433</v>
      </c>
      <c r="K35" s="1">
        <f t="shared" si="12"/>
        <v>371092.041</v>
      </c>
      <c r="L35" s="1">
        <f t="shared" si="13"/>
        <v>318225.54</v>
      </c>
      <c r="M35" s="1">
        <f t="shared" si="14"/>
        <v>131909.619</v>
      </c>
      <c r="N35" s="12">
        <f t="shared" si="59"/>
        <v>0.04568000000000001</v>
      </c>
      <c r="O35" s="12">
        <f t="shared" si="60"/>
        <v>0.004360000000000003</v>
      </c>
      <c r="P35" s="12">
        <f t="shared" si="61"/>
        <v>0.059190000000000006</v>
      </c>
      <c r="Q35" s="12">
        <f t="shared" si="62"/>
        <v>0.07855999999999996</v>
      </c>
      <c r="R35" s="12">
        <f t="shared" si="63"/>
        <v>0.129888</v>
      </c>
      <c r="S35" s="1">
        <f t="shared" si="15"/>
        <v>148790.53948572</v>
      </c>
      <c r="T35" s="2">
        <f t="shared" si="16"/>
        <v>0.28988916</v>
      </c>
      <c r="U35" s="1">
        <f t="shared" si="17"/>
        <v>17110.9120408578</v>
      </c>
      <c r="V35" s="1">
        <f t="shared" si="18"/>
        <v>10415.3377640004</v>
      </c>
      <c r="W35" s="1">
        <f t="shared" si="19"/>
        <v>5207.6688820002</v>
      </c>
      <c r="X35" s="1">
        <f t="shared" si="20"/>
        <v>24144.6466347282</v>
      </c>
      <c r="Y35" s="1">
        <f t="shared" si="21"/>
        <v>2904.391330761254</v>
      </c>
      <c r="Z35" s="1">
        <f t="shared" si="22"/>
        <v>1452.195665380627</v>
      </c>
      <c r="AA35" s="1">
        <f t="shared" si="23"/>
        <v>6732.907175855634</v>
      </c>
      <c r="AB35" s="1">
        <f t="shared" si="24"/>
        <v>41812.66508303699</v>
      </c>
      <c r="AC35" s="1">
        <f t="shared" si="25"/>
        <v>20906.332541518495</v>
      </c>
      <c r="AD35" s="1">
        <f t="shared" si="26"/>
        <v>96929.35996522212</v>
      </c>
      <c r="AE35" s="1">
        <f t="shared" si="27"/>
        <v>24748.342335902962</v>
      </c>
      <c r="AF35" s="1">
        <f t="shared" si="28"/>
        <v>12374.171167951481</v>
      </c>
      <c r="AG35" s="1">
        <f t="shared" si="29"/>
        <v>57371.1572332296</v>
      </c>
      <c r="AP35" t="s">
        <v>31</v>
      </c>
      <c r="AQ35" s="10" t="s">
        <v>157</v>
      </c>
      <c r="AR35" s="1">
        <v>513267</v>
      </c>
      <c r="AS35" s="1">
        <v>148790.53948572</v>
      </c>
      <c r="AT35" s="1">
        <v>74395.26974286</v>
      </c>
      <c r="AU35" s="1">
        <v>344923.52335325995</v>
      </c>
      <c r="AV35" s="1">
        <v>17110.9120408578</v>
      </c>
      <c r="AW35" s="1">
        <v>11903.243158857598</v>
      </c>
      <c r="AX35" s="1">
        <v>49100.8780302876</v>
      </c>
      <c r="AY35" s="1">
        <f t="shared" si="30"/>
        <v>3131.296903476977</v>
      </c>
      <c r="AZ35" s="1">
        <f t="shared" si="31"/>
        <v>1830.4309178965016</v>
      </c>
      <c r="BA35" s="1">
        <f t="shared" si="32"/>
        <v>4322.44224555962</v>
      </c>
      <c r="BB35" s="1">
        <f t="shared" si="33"/>
        <v>992.4328983697524</v>
      </c>
      <c r="BC35" s="1">
        <f t="shared" si="34"/>
        <v>0</v>
      </c>
      <c r="BD35" s="1">
        <f t="shared" si="35"/>
        <v>2376.976034885394</v>
      </c>
      <c r="BE35" s="1">
        <f t="shared" si="36"/>
        <v>2224.4185653115137</v>
      </c>
      <c r="BF35" s="1">
        <f t="shared" si="37"/>
        <v>1430.3011374953032</v>
      </c>
      <c r="BG35" s="1">
        <f t="shared" si="38"/>
        <v>3443.3999391022235</v>
      </c>
      <c r="BH35" s="1">
        <f t="shared" si="39"/>
        <v>684.4364816343119</v>
      </c>
      <c r="BI35" s="1">
        <f t="shared" si="40"/>
        <v>342.21824081715596</v>
      </c>
      <c r="BJ35" s="1">
        <f t="shared" si="41"/>
        <v>1222.403556198881</v>
      </c>
      <c r="BL35" s="2">
        <v>0.64</v>
      </c>
      <c r="BM35" s="2">
        <v>0</v>
      </c>
      <c r="BO35" s="1">
        <f t="shared" si="42"/>
        <v>3131.296903476977</v>
      </c>
      <c r="BP35" s="1">
        <f t="shared" si="43"/>
        <v>1830.4309178965016</v>
      </c>
      <c r="BQ35" s="1">
        <f t="shared" si="44"/>
        <v>4322.44224555962</v>
      </c>
      <c r="BR35" s="1">
        <f t="shared" si="45"/>
        <v>484.3072544044391</v>
      </c>
      <c r="BS35" s="1">
        <f t="shared" si="46"/>
        <v>0</v>
      </c>
      <c r="BT35" s="1">
        <f t="shared" si="47"/>
        <v>1159.964305024072</v>
      </c>
      <c r="BU35" s="1">
        <f t="shared" si="48"/>
        <v>2224.4185653115137</v>
      </c>
      <c r="BV35" s="1">
        <f t="shared" si="49"/>
        <v>1430.3011374953032</v>
      </c>
      <c r="BW35" s="1">
        <f t="shared" si="50"/>
        <v>3443.3999391022235</v>
      </c>
      <c r="BX35" s="1">
        <f t="shared" si="51"/>
        <v>684.4364816343119</v>
      </c>
      <c r="BY35" s="1">
        <f t="shared" si="52"/>
        <v>342.21824081715596</v>
      </c>
      <c r="BZ35" s="1">
        <f t="shared" si="53"/>
        <v>1222.403556198881</v>
      </c>
      <c r="CA35" s="1">
        <f t="shared" si="54"/>
        <v>16602.786396892487</v>
      </c>
      <c r="CB35" s="1">
        <f t="shared" si="55"/>
        <v>11903.243158857598</v>
      </c>
      <c r="CC35" s="1">
        <f t="shared" si="56"/>
        <v>47883.86630042628</v>
      </c>
      <c r="CD35" s="1">
        <f t="shared" si="1"/>
        <v>144981.50167488554</v>
      </c>
      <c r="CE35" s="1">
        <f t="shared" si="2"/>
        <v>72490.75083744277</v>
      </c>
      <c r="CF35" s="1">
        <f t="shared" si="3"/>
        <v>336093.4811554165</v>
      </c>
      <c r="CG35" t="s">
        <v>31</v>
      </c>
      <c r="CH35" s="10" t="s">
        <v>157</v>
      </c>
      <c r="CI35" s="1">
        <v>513267</v>
      </c>
      <c r="CJ35" s="102">
        <v>418.813</v>
      </c>
      <c r="CK35" s="1">
        <v>1784.731</v>
      </c>
      <c r="CL35" s="1">
        <f t="shared" si="57"/>
        <v>2203.544</v>
      </c>
      <c r="CM35" s="1">
        <v>437.833248135147</v>
      </c>
      <c r="CN35" s="1">
        <v>1660.92349315151</v>
      </c>
      <c r="CO35" s="1">
        <f t="shared" si="58"/>
        <v>2098.756741286657</v>
      </c>
      <c r="CP35" s="1">
        <f t="shared" si="4"/>
        <v>691.7502219280822</v>
      </c>
      <c r="CQ35" s="1">
        <f t="shared" si="5"/>
        <v>366.2330513545216</v>
      </c>
      <c r="CR35" s="1">
        <f t="shared" si="6"/>
        <v>956.1935713302009</v>
      </c>
      <c r="CS35" s="1">
        <f t="shared" si="7"/>
        <v>244.3402195013909</v>
      </c>
      <c r="CT35" s="1">
        <f t="shared" si="8"/>
        <v>31.416410455411995</v>
      </c>
      <c r="CU35" s="1">
        <f t="shared" si="9"/>
        <v>453.25935903111184</v>
      </c>
      <c r="CW35" s="211" t="s">
        <v>606</v>
      </c>
      <c r="CX35" s="219"/>
      <c r="CY35" s="219"/>
      <c r="CZ35" s="219"/>
      <c r="DA35" s="219"/>
      <c r="DB35" s="219"/>
      <c r="DC35" s="219"/>
      <c r="DD35" s="186"/>
    </row>
    <row r="36" spans="1:108" ht="12.75">
      <c r="A36" t="s">
        <v>32</v>
      </c>
      <c r="B36" s="1">
        <v>84433</v>
      </c>
      <c r="C36" s="10" t="s">
        <v>14</v>
      </c>
      <c r="D36" s="107">
        <v>18.2</v>
      </c>
      <c r="E36" s="113">
        <v>14</v>
      </c>
      <c r="F36" s="113">
        <v>79</v>
      </c>
      <c r="G36" s="113">
        <v>1.3</v>
      </c>
      <c r="H36" s="107">
        <v>22.1</v>
      </c>
      <c r="I36" s="1">
        <f t="shared" si="10"/>
        <v>15366.805999999999</v>
      </c>
      <c r="J36" s="1">
        <f t="shared" si="11"/>
        <v>11820.62</v>
      </c>
      <c r="K36" s="1">
        <f t="shared" si="12"/>
        <v>66702.07</v>
      </c>
      <c r="L36" s="1">
        <f t="shared" si="13"/>
        <v>1097.6290000000001</v>
      </c>
      <c r="M36" s="1">
        <f t="shared" si="14"/>
        <v>18659.693</v>
      </c>
      <c r="N36" s="12">
        <f t="shared" si="59"/>
        <v>-0.029520000000000015</v>
      </c>
      <c r="O36" s="12">
        <f t="shared" si="60"/>
        <v>0.020760000000000008</v>
      </c>
      <c r="P36" s="12">
        <f t="shared" si="61"/>
        <v>0.07929000000000003</v>
      </c>
      <c r="Q36" s="12">
        <f t="shared" si="62"/>
        <v>-0.40704000000000007</v>
      </c>
      <c r="R36" s="12">
        <f t="shared" si="63"/>
        <v>0.09424800000000001</v>
      </c>
      <c r="S36" s="1">
        <f t="shared" si="15"/>
        <v>14075.180361879999</v>
      </c>
      <c r="T36" s="2">
        <f t="shared" si="16"/>
        <v>0.16670236</v>
      </c>
      <c r="U36" s="1">
        <f t="shared" si="17"/>
        <v>1618.6457416162</v>
      </c>
      <c r="V36" s="1">
        <f t="shared" si="18"/>
        <v>985.2626253316</v>
      </c>
      <c r="W36" s="1">
        <f t="shared" si="19"/>
        <v>492.6313126658</v>
      </c>
      <c r="X36" s="1">
        <f t="shared" si="20"/>
        <v>2284.0179041778</v>
      </c>
      <c r="Y36" s="1">
        <f t="shared" si="21"/>
        <v>117.1055006108416</v>
      </c>
      <c r="Z36" s="1">
        <f t="shared" si="22"/>
        <v>58.5527503054208</v>
      </c>
      <c r="AA36" s="1">
        <f t="shared" si="23"/>
        <v>271.4718423251329</v>
      </c>
      <c r="AB36" s="1">
        <f t="shared" si="24"/>
        <v>3898.5344485180904</v>
      </c>
      <c r="AC36" s="1">
        <f t="shared" si="25"/>
        <v>1949.2672242590452</v>
      </c>
      <c r="AD36" s="1">
        <f t="shared" si="26"/>
        <v>9037.511676110118</v>
      </c>
      <c r="AE36" s="1">
        <f t="shared" si="27"/>
        <v>2307.4890095771084</v>
      </c>
      <c r="AF36" s="1">
        <f t="shared" si="28"/>
        <v>1153.7445047885542</v>
      </c>
      <c r="AG36" s="1">
        <f t="shared" si="29"/>
        <v>5349.179067656023</v>
      </c>
      <c r="AP36" t="s">
        <v>32</v>
      </c>
      <c r="AQ36" s="10" t="s">
        <v>157</v>
      </c>
      <c r="AR36" s="1">
        <v>84433</v>
      </c>
      <c r="AS36" s="1">
        <v>14075.180361879999</v>
      </c>
      <c r="AT36" s="1">
        <v>7037.590180939999</v>
      </c>
      <c r="AU36" s="1">
        <v>32628.827202539997</v>
      </c>
      <c r="AV36" s="1">
        <v>1618.6457416162</v>
      </c>
      <c r="AW36" s="1">
        <v>1126.0144289503999</v>
      </c>
      <c r="AX36" s="1">
        <v>4644.8095194204</v>
      </c>
      <c r="AY36" s="1">
        <f t="shared" si="30"/>
        <v>296.2121707157646</v>
      </c>
      <c r="AZ36" s="1">
        <f t="shared" si="31"/>
        <v>173.15378651360734</v>
      </c>
      <c r="BA36" s="1">
        <f t="shared" si="32"/>
        <v>408.8912804560415</v>
      </c>
      <c r="BB36" s="1">
        <f t="shared" si="33"/>
        <v>93.8814530137396</v>
      </c>
      <c r="BC36" s="1">
        <f t="shared" si="34"/>
        <v>0</v>
      </c>
      <c r="BD36" s="1">
        <f t="shared" si="35"/>
        <v>224.8554681132077</v>
      </c>
      <c r="BE36" s="1">
        <f aca="true" t="shared" si="64" ref="BE36:BE63">AV36*0.13</f>
        <v>210.423946410106</v>
      </c>
      <c r="BF36" s="1">
        <f t="shared" si="37"/>
        <v>135.30259754169816</v>
      </c>
      <c r="BG36" s="1">
        <f t="shared" si="38"/>
        <v>325.73626904284407</v>
      </c>
      <c r="BH36" s="1">
        <f t="shared" si="39"/>
        <v>64.745829664648</v>
      </c>
      <c r="BI36" s="1">
        <f t="shared" si="40"/>
        <v>32.372914832324</v>
      </c>
      <c r="BJ36" s="1">
        <f t="shared" si="41"/>
        <v>115.63605178106133</v>
      </c>
      <c r="BL36" s="2">
        <v>0.99</v>
      </c>
      <c r="BM36" s="2">
        <v>0</v>
      </c>
      <c r="BO36" s="1">
        <f t="shared" si="42"/>
        <v>296.2121707157646</v>
      </c>
      <c r="BP36" s="1">
        <f t="shared" si="43"/>
        <v>173.15378651360734</v>
      </c>
      <c r="BQ36" s="1">
        <f t="shared" si="44"/>
        <v>408.8912804560415</v>
      </c>
      <c r="BR36" s="1">
        <f t="shared" si="45"/>
        <v>19.527342226857826</v>
      </c>
      <c r="BS36" s="1">
        <f t="shared" si="46"/>
        <v>0</v>
      </c>
      <c r="BT36" s="1">
        <f t="shared" si="47"/>
        <v>46.769937367547186</v>
      </c>
      <c r="BU36" s="1">
        <f t="shared" si="48"/>
        <v>210.423946410106</v>
      </c>
      <c r="BV36" s="1">
        <f t="shared" si="49"/>
        <v>135.30259754169816</v>
      </c>
      <c r="BW36" s="1">
        <f t="shared" si="50"/>
        <v>325.73626904284407</v>
      </c>
      <c r="BX36" s="1">
        <f t="shared" si="51"/>
        <v>64.745829664648</v>
      </c>
      <c r="BY36" s="1">
        <f t="shared" si="52"/>
        <v>32.372914832324</v>
      </c>
      <c r="BZ36" s="1">
        <f t="shared" si="53"/>
        <v>115.63605178106133</v>
      </c>
      <c r="CA36" s="1">
        <f t="shared" si="54"/>
        <v>1544.2916308293181</v>
      </c>
      <c r="CB36" s="1">
        <f t="shared" si="55"/>
        <v>1126.0144289503999</v>
      </c>
      <c r="CC36" s="1">
        <f t="shared" si="56"/>
        <v>4466.723988674739</v>
      </c>
      <c r="CD36" s="1">
        <f t="shared" si="1"/>
        <v>13517.80321954955</v>
      </c>
      <c r="CE36" s="1">
        <f t="shared" si="2"/>
        <v>6758.901609774775</v>
      </c>
      <c r="CF36" s="1">
        <f t="shared" si="3"/>
        <v>31336.725645319413</v>
      </c>
      <c r="CG36" t="s">
        <v>32</v>
      </c>
      <c r="CH36" s="10" t="s">
        <v>157</v>
      </c>
      <c r="CI36" s="1">
        <v>84433</v>
      </c>
      <c r="CJ36" s="102">
        <v>9.019608</v>
      </c>
      <c r="CK36" s="1">
        <v>11.23717</v>
      </c>
      <c r="CL36" s="1">
        <f t="shared" si="57"/>
        <v>20.256778</v>
      </c>
      <c r="CM36" s="1">
        <v>8.96103911688312</v>
      </c>
      <c r="CN36" s="1">
        <v>11.0931037179487</v>
      </c>
      <c r="CO36" s="1">
        <f t="shared" si="58"/>
        <v>20.054142834831822</v>
      </c>
      <c r="CP36" s="1">
        <f t="shared" si="4"/>
        <v>6.609845478360569</v>
      </c>
      <c r="CQ36" s="1">
        <f t="shared" si="5"/>
        <v>3.4994479246781527</v>
      </c>
      <c r="CR36" s="1">
        <f t="shared" si="6"/>
        <v>9.136667475549379</v>
      </c>
      <c r="CS36" s="1">
        <f t="shared" si="7"/>
        <v>1.06636370743797</v>
      </c>
      <c r="CT36" s="1">
        <f t="shared" si="8"/>
        <v>0.12905898813304087</v>
      </c>
      <c r="CU36" s="1">
        <f t="shared" si="9"/>
        <v>2.107103689762977</v>
      </c>
      <c r="CW36" s="211"/>
      <c r="CX36" s="219"/>
      <c r="CY36" s="219"/>
      <c r="CZ36" s="219"/>
      <c r="DA36" s="219"/>
      <c r="DB36" s="219"/>
      <c r="DC36" s="219"/>
      <c r="DD36" s="186"/>
    </row>
    <row r="37" spans="1:108" ht="12.75">
      <c r="A37" t="s">
        <v>33</v>
      </c>
      <c r="B37" s="1">
        <v>3084517</v>
      </c>
      <c r="C37" s="10" t="s">
        <v>14</v>
      </c>
      <c r="D37" s="115">
        <v>37.5</v>
      </c>
      <c r="E37" s="30">
        <v>3.9</v>
      </c>
      <c r="F37" s="29">
        <v>83.9</v>
      </c>
      <c r="G37" s="106">
        <v>99</v>
      </c>
      <c r="H37" s="115">
        <v>26.3</v>
      </c>
      <c r="I37" s="1">
        <f t="shared" si="10"/>
        <v>1156693.875</v>
      </c>
      <c r="J37" s="1">
        <f t="shared" si="11"/>
        <v>120296.16299999999</v>
      </c>
      <c r="K37" s="1">
        <f t="shared" si="12"/>
        <v>2587909.7630000003</v>
      </c>
      <c r="L37" s="1">
        <f t="shared" si="13"/>
        <v>3053671.83</v>
      </c>
      <c r="M37" s="1">
        <f t="shared" si="14"/>
        <v>811227.9710000001</v>
      </c>
      <c r="N37" s="12">
        <f t="shared" si="59"/>
        <v>0.12487999999999999</v>
      </c>
      <c r="O37" s="12">
        <f t="shared" si="60"/>
        <v>-0.01964</v>
      </c>
      <c r="P37" s="12">
        <f t="shared" si="61"/>
        <v>0.09399000000000003</v>
      </c>
      <c r="Q37" s="12">
        <f t="shared" si="62"/>
        <v>0.37456</v>
      </c>
      <c r="R37" s="12">
        <f t="shared" si="63"/>
        <v>0.135828</v>
      </c>
      <c r="S37" s="1">
        <f t="shared" si="15"/>
        <v>1160136.0725913201</v>
      </c>
      <c r="T37" s="2">
        <f t="shared" si="16"/>
        <v>0.37611596</v>
      </c>
      <c r="U37" s="1">
        <f t="shared" si="17"/>
        <v>133415.64834800182</v>
      </c>
      <c r="V37" s="1">
        <f t="shared" si="18"/>
        <v>81209.52508139242</v>
      </c>
      <c r="W37" s="1">
        <f t="shared" si="19"/>
        <v>40604.76254069621</v>
      </c>
      <c r="X37" s="1">
        <f t="shared" si="20"/>
        <v>188258.4445068642</v>
      </c>
      <c r="Y37" s="1">
        <f t="shared" si="21"/>
        <v>20418.394877607236</v>
      </c>
      <c r="Z37" s="1">
        <f t="shared" si="22"/>
        <v>10209.197438803618</v>
      </c>
      <c r="AA37" s="1">
        <f t="shared" si="23"/>
        <v>47333.55176172586</v>
      </c>
      <c r="AB37" s="1">
        <f t="shared" si="24"/>
        <v>325214.9125219473</v>
      </c>
      <c r="AC37" s="1">
        <f t="shared" si="25"/>
        <v>162607.45626097365</v>
      </c>
      <c r="AD37" s="1">
        <f t="shared" si="26"/>
        <v>753907.2972099686</v>
      </c>
      <c r="AE37" s="1">
        <f t="shared" si="27"/>
        <v>192490.24121878087</v>
      </c>
      <c r="AF37" s="1">
        <f t="shared" si="28"/>
        <v>96245.12060939043</v>
      </c>
      <c r="AG37" s="1">
        <f t="shared" si="29"/>
        <v>446227.3773708101</v>
      </c>
      <c r="AP37" t="s">
        <v>33</v>
      </c>
      <c r="AQ37" s="10" t="s">
        <v>157</v>
      </c>
      <c r="AR37" s="1">
        <v>3084517</v>
      </c>
      <c r="AS37" s="1">
        <v>1160136.0725913201</v>
      </c>
      <c r="AT37" s="1">
        <v>580068.0362956601</v>
      </c>
      <c r="AU37" s="1">
        <v>2689406.35009806</v>
      </c>
      <c r="AV37" s="1">
        <v>133415.64834800182</v>
      </c>
      <c r="AW37" s="1">
        <v>92810.88580730562</v>
      </c>
      <c r="AX37" s="1">
        <v>382844.90395513567</v>
      </c>
      <c r="AY37" s="1">
        <f t="shared" si="30"/>
        <v>24415.063647684332</v>
      </c>
      <c r="AZ37" s="1">
        <f t="shared" si="31"/>
        <v>14272.069605890352</v>
      </c>
      <c r="BA37" s="1">
        <f t="shared" si="32"/>
        <v>33702.553859263455</v>
      </c>
      <c r="BB37" s="1">
        <f t="shared" si="33"/>
        <v>7738.107604184106</v>
      </c>
      <c r="BC37" s="1">
        <f t="shared" si="34"/>
        <v>0</v>
      </c>
      <c r="BD37" s="1">
        <f t="shared" si="35"/>
        <v>18533.54152278135</v>
      </c>
      <c r="BE37" s="1">
        <f t="shared" si="64"/>
        <v>17344.03428524024</v>
      </c>
      <c r="BF37" s="1">
        <f t="shared" si="37"/>
        <v>11152.214045409473</v>
      </c>
      <c r="BG37" s="1">
        <f t="shared" si="38"/>
        <v>26848.56507355189</v>
      </c>
      <c r="BH37" s="1">
        <f t="shared" si="39"/>
        <v>5336.625933920073</v>
      </c>
      <c r="BI37" s="1">
        <f t="shared" si="40"/>
        <v>2668.3129669600366</v>
      </c>
      <c r="BJ37" s="1">
        <f t="shared" si="41"/>
        <v>9531.213917981251</v>
      </c>
      <c r="BL37" s="2">
        <v>0.7</v>
      </c>
      <c r="BM37" s="2">
        <v>0</v>
      </c>
      <c r="BO37" s="1">
        <f t="shared" si="42"/>
        <v>24415.063647684332</v>
      </c>
      <c r="BP37" s="1">
        <f t="shared" si="43"/>
        <v>14272.069605890352</v>
      </c>
      <c r="BQ37" s="1">
        <f t="shared" si="44"/>
        <v>33702.553859263455</v>
      </c>
      <c r="BR37" s="1">
        <f t="shared" si="45"/>
        <v>3404.7673458410063</v>
      </c>
      <c r="BS37" s="1">
        <f t="shared" si="46"/>
        <v>0</v>
      </c>
      <c r="BT37" s="1">
        <f t="shared" si="47"/>
        <v>8154.7582700237945</v>
      </c>
      <c r="BU37" s="1">
        <f t="shared" si="48"/>
        <v>17344.03428524024</v>
      </c>
      <c r="BV37" s="1">
        <f t="shared" si="49"/>
        <v>11152.214045409473</v>
      </c>
      <c r="BW37" s="1">
        <f t="shared" si="50"/>
        <v>26848.56507355189</v>
      </c>
      <c r="BX37" s="1">
        <f t="shared" si="51"/>
        <v>5336.625933920073</v>
      </c>
      <c r="BY37" s="1">
        <f t="shared" si="52"/>
        <v>2668.3129669600366</v>
      </c>
      <c r="BZ37" s="1">
        <f t="shared" si="53"/>
        <v>9531.213917981251</v>
      </c>
      <c r="CA37" s="1">
        <f t="shared" si="54"/>
        <v>129082.30808965872</v>
      </c>
      <c r="CB37" s="1">
        <f t="shared" si="55"/>
        <v>92810.88580730562</v>
      </c>
      <c r="CC37" s="1">
        <f t="shared" si="56"/>
        <v>372466.1207023781</v>
      </c>
      <c r="CD37" s="1">
        <f t="shared" si="1"/>
        <v>1127652.2625587631</v>
      </c>
      <c r="CE37" s="1">
        <f t="shared" si="2"/>
        <v>563826.1312793816</v>
      </c>
      <c r="CF37" s="1">
        <f t="shared" si="3"/>
        <v>2614102.972295314</v>
      </c>
      <c r="CG37" t="s">
        <v>33</v>
      </c>
      <c r="CH37" s="10" t="s">
        <v>157</v>
      </c>
      <c r="CI37" s="1">
        <v>3084517</v>
      </c>
      <c r="CJ37" s="102">
        <v>3655.836</v>
      </c>
      <c r="CK37" s="1">
        <v>18034.72</v>
      </c>
      <c r="CL37" s="1">
        <f t="shared" si="57"/>
        <v>21690.556</v>
      </c>
      <c r="CM37" s="1">
        <v>3697.08577457994</v>
      </c>
      <c r="CN37" s="1">
        <v>15306.7003868338</v>
      </c>
      <c r="CO37" s="1">
        <f t="shared" si="58"/>
        <v>19003.78616141374</v>
      </c>
      <c r="CP37" s="1">
        <f t="shared" si="4"/>
        <v>6263.647918801968</v>
      </c>
      <c r="CQ37" s="1">
        <f t="shared" si="5"/>
        <v>3316.1606851666975</v>
      </c>
      <c r="CR37" s="1">
        <f t="shared" si="6"/>
        <v>8658.1249751401</v>
      </c>
      <c r="CS37" s="1">
        <f t="shared" si="7"/>
        <v>2017.937772075509</v>
      </c>
      <c r="CT37" s="1">
        <f t="shared" si="8"/>
        <v>256.86643567296704</v>
      </c>
      <c r="CU37" s="1">
        <f t="shared" si="9"/>
        <v>3780.7901486514907</v>
      </c>
      <c r="CW37" s="215" t="s">
        <v>691</v>
      </c>
      <c r="CX37" s="221"/>
      <c r="CY37" s="221"/>
      <c r="CZ37" s="221"/>
      <c r="DA37" s="221"/>
      <c r="DB37" s="221"/>
      <c r="DC37" s="221"/>
      <c r="DD37" s="188"/>
    </row>
    <row r="38" spans="1:99" ht="12.75">
      <c r="A38" t="s">
        <v>34</v>
      </c>
      <c r="B38" s="1">
        <v>26568927</v>
      </c>
      <c r="C38" s="10" t="s">
        <v>14</v>
      </c>
      <c r="D38" s="113">
        <v>22.1</v>
      </c>
      <c r="E38" s="111">
        <v>1.5</v>
      </c>
      <c r="F38" s="29">
        <v>83.1</v>
      </c>
      <c r="G38" s="116">
        <v>75</v>
      </c>
      <c r="H38" s="115">
        <v>13.5</v>
      </c>
      <c r="I38" s="1">
        <f t="shared" si="10"/>
        <v>5871732.867000001</v>
      </c>
      <c r="J38" s="1">
        <f t="shared" si="11"/>
        <v>398533.905</v>
      </c>
      <c r="K38" s="1">
        <f t="shared" si="12"/>
        <v>22078778.336999997</v>
      </c>
      <c r="L38" s="1">
        <f t="shared" si="13"/>
        <v>19926695.25</v>
      </c>
      <c r="M38" s="1">
        <f t="shared" si="14"/>
        <v>3586805.145</v>
      </c>
      <c r="N38" s="12">
        <f t="shared" si="59"/>
        <v>0.0016799999999999927</v>
      </c>
      <c r="O38" s="12">
        <f t="shared" si="60"/>
        <v>-0.029240000000000002</v>
      </c>
      <c r="P38" s="12">
        <f t="shared" si="61"/>
        <v>0.09159</v>
      </c>
      <c r="Q38" s="12">
        <f t="shared" si="62"/>
        <v>0.18255999999999997</v>
      </c>
      <c r="R38" s="12">
        <f t="shared" si="63"/>
        <v>0.009108000000000014</v>
      </c>
      <c r="S38" s="1">
        <f t="shared" si="15"/>
        <v>7339760.66913012</v>
      </c>
      <c r="T38" s="2">
        <f t="shared" si="16"/>
        <v>0.27625356</v>
      </c>
      <c r="U38" s="1">
        <f t="shared" si="17"/>
        <v>844072.4769499638</v>
      </c>
      <c r="V38" s="1">
        <f t="shared" si="18"/>
        <v>513783.24683910847</v>
      </c>
      <c r="W38" s="1">
        <f t="shared" si="19"/>
        <v>256891.62341955423</v>
      </c>
      <c r="X38" s="1">
        <f t="shared" si="20"/>
        <v>1191042.9813088425</v>
      </c>
      <c r="Y38" s="1">
        <f t="shared" si="21"/>
        <v>293590.4267652048</v>
      </c>
      <c r="Z38" s="1">
        <f t="shared" si="22"/>
        <v>146795.2133826024</v>
      </c>
      <c r="AA38" s="1">
        <f t="shared" si="23"/>
        <v>680595.9893193385</v>
      </c>
      <c r="AB38" s="1">
        <f t="shared" si="24"/>
        <v>2116786.9769771267</v>
      </c>
      <c r="AC38" s="1">
        <f t="shared" si="25"/>
        <v>1058393.4884885633</v>
      </c>
      <c r="AD38" s="1">
        <f t="shared" si="26"/>
        <v>4907097.082992431</v>
      </c>
      <c r="AE38" s="1">
        <f t="shared" si="27"/>
        <v>1252897.1462205115</v>
      </c>
      <c r="AF38" s="1">
        <f t="shared" si="28"/>
        <v>626448.5731102558</v>
      </c>
      <c r="AG38" s="1">
        <f t="shared" si="29"/>
        <v>2904443.384420277</v>
      </c>
      <c r="AP38" t="s">
        <v>34</v>
      </c>
      <c r="AQ38" s="10" t="s">
        <v>157</v>
      </c>
      <c r="AR38" s="1">
        <v>26568927</v>
      </c>
      <c r="AS38" s="1">
        <v>7339760.66913012</v>
      </c>
      <c r="AT38" s="1">
        <v>3669880.33456506</v>
      </c>
      <c r="AU38" s="1">
        <v>17014899.732983463</v>
      </c>
      <c r="AV38" s="1">
        <v>844072.4769499638</v>
      </c>
      <c r="AW38" s="1">
        <v>587180.8535304096</v>
      </c>
      <c r="AX38" s="1">
        <v>2422121.02081294</v>
      </c>
      <c r="AY38" s="1">
        <f t="shared" si="30"/>
        <v>154465.2632818434</v>
      </c>
      <c r="AZ38" s="1">
        <f t="shared" si="31"/>
        <v>90294.21430403437</v>
      </c>
      <c r="BA38" s="1">
        <f t="shared" si="32"/>
        <v>213223.84943425664</v>
      </c>
      <c r="BB38" s="1">
        <f t="shared" si="33"/>
        <v>48956.203663097906</v>
      </c>
      <c r="BC38" s="1">
        <f t="shared" si="34"/>
        <v>0</v>
      </c>
      <c r="BD38" s="1">
        <f t="shared" si="35"/>
        <v>117255.00339348578</v>
      </c>
      <c r="BE38" s="1">
        <f t="shared" si="64"/>
        <v>109729.4220034953</v>
      </c>
      <c r="BF38" s="1">
        <f t="shared" si="37"/>
        <v>70556.01834824748</v>
      </c>
      <c r="BG38" s="1">
        <f t="shared" si="38"/>
        <v>169861.14526141074</v>
      </c>
      <c r="BH38" s="1">
        <f t="shared" si="39"/>
        <v>33762.899077998554</v>
      </c>
      <c r="BI38" s="1">
        <f t="shared" si="40"/>
        <v>16881.449538999277</v>
      </c>
      <c r="BJ38" s="1">
        <f t="shared" si="41"/>
        <v>60300.53775330542</v>
      </c>
      <c r="BL38" s="2">
        <v>0</v>
      </c>
      <c r="BM38" s="2">
        <v>0</v>
      </c>
      <c r="BO38" s="1">
        <f t="shared" si="42"/>
        <v>154465.2632818434</v>
      </c>
      <c r="BP38" s="1">
        <f t="shared" si="43"/>
        <v>90294.21430403437</v>
      </c>
      <c r="BQ38" s="1">
        <f t="shared" si="44"/>
        <v>213223.84943425664</v>
      </c>
      <c r="BR38" s="1">
        <f t="shared" si="45"/>
        <v>48956.203663097906</v>
      </c>
      <c r="BS38" s="1">
        <f t="shared" si="46"/>
        <v>0</v>
      </c>
      <c r="BT38" s="1">
        <f t="shared" si="47"/>
        <v>117255.00339348578</v>
      </c>
      <c r="BU38" s="1">
        <f t="shared" si="48"/>
        <v>109729.4220034953</v>
      </c>
      <c r="BV38" s="1">
        <f t="shared" si="49"/>
        <v>70556.01834824748</v>
      </c>
      <c r="BW38" s="1">
        <f t="shared" si="50"/>
        <v>169861.14526141074</v>
      </c>
      <c r="BX38" s="1">
        <f t="shared" si="51"/>
        <v>33762.899077998554</v>
      </c>
      <c r="BY38" s="1">
        <f t="shared" si="52"/>
        <v>16881.449538999277</v>
      </c>
      <c r="BZ38" s="1">
        <f t="shared" si="53"/>
        <v>60300.53775330542</v>
      </c>
      <c r="CA38" s="1">
        <f t="shared" si="54"/>
        <v>844072.4769499638</v>
      </c>
      <c r="CB38" s="1">
        <f t="shared" si="55"/>
        <v>587180.8535304096</v>
      </c>
      <c r="CC38" s="1">
        <f t="shared" si="56"/>
        <v>2422121.02081294</v>
      </c>
      <c r="CD38" s="1">
        <f t="shared" si="1"/>
        <v>7339760.66913012</v>
      </c>
      <c r="CE38" s="1">
        <f t="shared" si="2"/>
        <v>3669880.33456506</v>
      </c>
      <c r="CF38" s="1">
        <f t="shared" si="3"/>
        <v>17014899.732983463</v>
      </c>
      <c r="CG38" t="s">
        <v>34</v>
      </c>
      <c r="CH38" s="10" t="s">
        <v>157</v>
      </c>
      <c r="CI38" s="1">
        <v>26568927</v>
      </c>
      <c r="CJ38" s="102">
        <v>22077</v>
      </c>
      <c r="CK38" s="1">
        <v>121519.4</v>
      </c>
      <c r="CL38" s="1">
        <f t="shared" si="57"/>
        <v>143596.4</v>
      </c>
      <c r="CM38" s="1">
        <v>22128.9819403744</v>
      </c>
      <c r="CN38" s="1">
        <v>99071.9354209706</v>
      </c>
      <c r="CO38" s="1">
        <f t="shared" si="58"/>
        <v>121200.91736134501</v>
      </c>
      <c r="CP38" s="1">
        <f t="shared" si="4"/>
        <v>39947.82236229932</v>
      </c>
      <c r="CQ38" s="1">
        <f t="shared" si="5"/>
        <v>21149.560079554703</v>
      </c>
      <c r="CR38" s="1">
        <f t="shared" si="6"/>
        <v>55219.137949828786</v>
      </c>
      <c r="CS38" s="1">
        <f t="shared" si="7"/>
        <v>25767.31503102195</v>
      </c>
      <c r="CT38" s="1">
        <f t="shared" si="8"/>
        <v>3660.2677043126196</v>
      </c>
      <c r="CU38" s="1">
        <f t="shared" si="9"/>
        <v>43729.29098397328</v>
      </c>
    </row>
    <row r="39" spans="1:99" ht="12.75">
      <c r="A39" t="s">
        <v>35</v>
      </c>
      <c r="B39" s="1">
        <v>23490</v>
      </c>
      <c r="C39" s="10" t="s">
        <v>14</v>
      </c>
      <c r="D39" s="113">
        <v>13</v>
      </c>
      <c r="E39" s="113">
        <v>8.2</v>
      </c>
      <c r="F39" s="113">
        <v>44.2</v>
      </c>
      <c r="G39" s="113">
        <v>76</v>
      </c>
      <c r="H39" s="113">
        <v>6.4</v>
      </c>
      <c r="I39" s="1">
        <f t="shared" si="10"/>
        <v>3053.7</v>
      </c>
      <c r="J39" s="1">
        <f t="shared" si="11"/>
        <v>1926.1799999999996</v>
      </c>
      <c r="K39" s="1">
        <f t="shared" si="12"/>
        <v>10382.580000000002</v>
      </c>
      <c r="L39" s="1">
        <f t="shared" si="13"/>
        <v>17852.4</v>
      </c>
      <c r="M39" s="1">
        <f t="shared" si="14"/>
        <v>1503.36</v>
      </c>
      <c r="N39" s="12">
        <f t="shared" si="59"/>
        <v>-0.07112</v>
      </c>
      <c r="O39" s="12">
        <f t="shared" si="60"/>
        <v>-0.0024400000000000034</v>
      </c>
      <c r="P39" s="12">
        <f t="shared" si="61"/>
        <v>-0.025109999999999983</v>
      </c>
      <c r="Q39" s="12">
        <f t="shared" si="62"/>
        <v>0.19055999999999998</v>
      </c>
      <c r="R39" s="12">
        <f t="shared" si="63"/>
        <v>-0.06118199999999999</v>
      </c>
      <c r="S39" s="1">
        <f t="shared" si="15"/>
        <v>5326.4928024</v>
      </c>
      <c r="T39" s="2">
        <f t="shared" si="16"/>
        <v>0.22675576</v>
      </c>
      <c r="U39" s="1">
        <f t="shared" si="17"/>
        <v>612.546672276</v>
      </c>
      <c r="V39" s="1">
        <f t="shared" si="18"/>
        <v>372.854496168</v>
      </c>
      <c r="W39" s="1">
        <f t="shared" si="19"/>
        <v>186.427248084</v>
      </c>
      <c r="X39" s="1">
        <f t="shared" si="20"/>
        <v>864.3445138440001</v>
      </c>
      <c r="Y39" s="1">
        <f t="shared" si="21"/>
        <v>46.020897812735996</v>
      </c>
      <c r="Z39" s="1">
        <f t="shared" si="22"/>
        <v>23.010448906367998</v>
      </c>
      <c r="AA39" s="1">
        <f t="shared" si="23"/>
        <v>106.68480856588798</v>
      </c>
      <c r="AB39" s="1">
        <f t="shared" si="24"/>
        <v>1475.9430316630433</v>
      </c>
      <c r="AC39" s="1">
        <f t="shared" si="25"/>
        <v>737.9715158315216</v>
      </c>
      <c r="AD39" s="1">
        <f t="shared" si="26"/>
        <v>3421.5043006734186</v>
      </c>
      <c r="AE39" s="1">
        <f t="shared" si="27"/>
        <v>873.5904143719885</v>
      </c>
      <c r="AF39" s="1">
        <f t="shared" si="28"/>
        <v>436.79520718599423</v>
      </c>
      <c r="AG39" s="1">
        <f t="shared" si="29"/>
        <v>2025.1414151350643</v>
      </c>
      <c r="AP39" t="s">
        <v>35</v>
      </c>
      <c r="AQ39" s="10" t="s">
        <v>157</v>
      </c>
      <c r="AR39" s="1">
        <v>23490</v>
      </c>
      <c r="AS39" s="1">
        <v>5326.4928024</v>
      </c>
      <c r="AT39" s="1">
        <v>2663.2464012</v>
      </c>
      <c r="AU39" s="1">
        <v>12347.7787692</v>
      </c>
      <c r="AV39" s="1">
        <v>612.546672276</v>
      </c>
      <c r="AW39" s="1">
        <v>426.119424192</v>
      </c>
      <c r="AX39" s="1">
        <v>1757.742624792</v>
      </c>
      <c r="AY39" s="1">
        <f t="shared" si="30"/>
        <v>112.09604102650799</v>
      </c>
      <c r="AZ39" s="1">
        <f t="shared" si="31"/>
        <v>65.52686174245551</v>
      </c>
      <c r="BA39" s="1">
        <f t="shared" si="32"/>
        <v>154.73737503299165</v>
      </c>
      <c r="BB39" s="1">
        <f t="shared" si="33"/>
        <v>35.527706992008</v>
      </c>
      <c r="BC39" s="1">
        <f t="shared" si="34"/>
        <v>0</v>
      </c>
      <c r="BD39" s="1">
        <f t="shared" si="35"/>
        <v>85.09241101655836</v>
      </c>
      <c r="BE39" s="1">
        <f t="shared" si="64"/>
        <v>79.63106739588</v>
      </c>
      <c r="BF39" s="1">
        <f t="shared" si="37"/>
        <v>51.20277633555084</v>
      </c>
      <c r="BG39" s="1">
        <f t="shared" si="38"/>
        <v>123.26889232882223</v>
      </c>
      <c r="BH39" s="1">
        <f t="shared" si="39"/>
        <v>24.50186689104</v>
      </c>
      <c r="BI39" s="1">
        <f t="shared" si="40"/>
        <v>12.25093344552</v>
      </c>
      <c r="BJ39" s="1">
        <f t="shared" si="41"/>
        <v>43.76033426739744</v>
      </c>
      <c r="BL39" s="2">
        <v>0.98</v>
      </c>
      <c r="BM39" s="2">
        <v>0</v>
      </c>
      <c r="BO39" s="1">
        <f t="shared" si="42"/>
        <v>112.09604102650799</v>
      </c>
      <c r="BP39" s="1">
        <f t="shared" si="43"/>
        <v>65.52686174245551</v>
      </c>
      <c r="BQ39" s="1">
        <f t="shared" si="44"/>
        <v>154.73737503299165</v>
      </c>
      <c r="BR39" s="1">
        <f t="shared" si="45"/>
        <v>7.673984710273729</v>
      </c>
      <c r="BS39" s="1">
        <f t="shared" si="46"/>
        <v>0</v>
      </c>
      <c r="BT39" s="1">
        <f t="shared" si="47"/>
        <v>18.379960779576606</v>
      </c>
      <c r="BU39" s="1">
        <f t="shared" si="48"/>
        <v>79.63106739588</v>
      </c>
      <c r="BV39" s="1">
        <f t="shared" si="49"/>
        <v>51.20277633555084</v>
      </c>
      <c r="BW39" s="1">
        <f t="shared" si="50"/>
        <v>123.26889232882223</v>
      </c>
      <c r="BX39" s="1">
        <f t="shared" si="51"/>
        <v>24.50186689104</v>
      </c>
      <c r="BY39" s="1">
        <f t="shared" si="52"/>
        <v>12.25093344552</v>
      </c>
      <c r="BZ39" s="1">
        <f t="shared" si="53"/>
        <v>43.76033426739744</v>
      </c>
      <c r="CA39" s="1">
        <f t="shared" si="54"/>
        <v>584.6929499942657</v>
      </c>
      <c r="CB39" s="1">
        <f t="shared" si="55"/>
        <v>426.119424192</v>
      </c>
      <c r="CC39" s="1">
        <f t="shared" si="56"/>
        <v>1691.0301745550182</v>
      </c>
      <c r="CD39" s="1">
        <f t="shared" si="1"/>
        <v>5117.69428454592</v>
      </c>
      <c r="CE39" s="1">
        <f t="shared" si="2"/>
        <v>2558.84714227296</v>
      </c>
      <c r="CF39" s="1">
        <f t="shared" si="3"/>
        <v>11863.74584144736</v>
      </c>
      <c r="CG39" t="s">
        <v>35</v>
      </c>
      <c r="CH39" s="10" t="s">
        <v>157</v>
      </c>
      <c r="CI39" s="1">
        <v>23490</v>
      </c>
      <c r="CJ39" s="102">
        <v>13.49852</v>
      </c>
      <c r="CK39" s="1">
        <v>57.61812</v>
      </c>
      <c r="CL39" s="1">
        <f t="shared" si="57"/>
        <v>71.11663999999999</v>
      </c>
      <c r="CM39" s="1">
        <v>15.6624048854962</v>
      </c>
      <c r="CN39" s="1">
        <v>63.2369605453249</v>
      </c>
      <c r="CO39" s="1">
        <f t="shared" si="58"/>
        <v>78.89936543082109</v>
      </c>
      <c r="CP39" s="1">
        <f t="shared" si="4"/>
        <v>26.005230845998632</v>
      </c>
      <c r="CQ39" s="1">
        <f t="shared" si="5"/>
        <v>13.76793926767828</v>
      </c>
      <c r="CR39" s="1">
        <f t="shared" si="6"/>
        <v>35.94655089028209</v>
      </c>
      <c r="CS39" s="1">
        <f t="shared" si="7"/>
        <v>4.347883337678987</v>
      </c>
      <c r="CT39" s="1">
        <f t="shared" si="8"/>
        <v>0.5271577491739745</v>
      </c>
      <c r="CU39" s="1">
        <f t="shared" si="9"/>
        <v>8.574211730724201</v>
      </c>
    </row>
    <row r="40" spans="1:99" ht="12.75">
      <c r="A40" t="s">
        <v>36</v>
      </c>
      <c r="B40" s="1">
        <v>2081483</v>
      </c>
      <c r="C40" s="10" t="s">
        <v>14</v>
      </c>
      <c r="D40" s="113">
        <v>14.5</v>
      </c>
      <c r="E40" s="29">
        <v>6.6</v>
      </c>
      <c r="F40" s="106">
        <v>53.6</v>
      </c>
      <c r="G40" s="116">
        <v>55.1</v>
      </c>
      <c r="H40" s="115">
        <v>50.8</v>
      </c>
      <c r="I40" s="1">
        <f t="shared" si="10"/>
        <v>301815.035</v>
      </c>
      <c r="J40" s="1">
        <f t="shared" si="11"/>
        <v>137377.878</v>
      </c>
      <c r="K40" s="1">
        <f t="shared" si="12"/>
        <v>1115674.888</v>
      </c>
      <c r="L40" s="1">
        <f t="shared" si="13"/>
        <v>1146897.133</v>
      </c>
      <c r="M40" s="1">
        <f t="shared" si="14"/>
        <v>1057393.3639999998</v>
      </c>
      <c r="N40" s="12">
        <f t="shared" si="59"/>
        <v>-0.05912000000000002</v>
      </c>
      <c r="O40" s="12">
        <f t="shared" si="60"/>
        <v>-0.008839999999999999</v>
      </c>
      <c r="P40" s="12">
        <f t="shared" si="61"/>
        <v>0.003090000000000026</v>
      </c>
      <c r="Q40" s="12">
        <f t="shared" si="62"/>
        <v>0.023360000000000006</v>
      </c>
      <c r="R40" s="12">
        <f t="shared" si="63"/>
        <v>0.378378</v>
      </c>
      <c r="S40" s="1">
        <f t="shared" si="15"/>
        <v>612186.96335368</v>
      </c>
      <c r="T40" s="2">
        <f t="shared" si="16"/>
        <v>0.29411096</v>
      </c>
      <c r="U40" s="1">
        <f t="shared" si="17"/>
        <v>70401.5007856732</v>
      </c>
      <c r="V40" s="1">
        <f t="shared" si="18"/>
        <v>42853.0874347576</v>
      </c>
      <c r="W40" s="1">
        <f t="shared" si="19"/>
        <v>21426.5437173788</v>
      </c>
      <c r="X40" s="1">
        <f t="shared" si="20"/>
        <v>99341.24814421081</v>
      </c>
      <c r="Y40" s="1">
        <f t="shared" si="21"/>
        <v>7835.993130927105</v>
      </c>
      <c r="Z40" s="1">
        <f t="shared" si="22"/>
        <v>3917.9965654635525</v>
      </c>
      <c r="AA40" s="1">
        <f t="shared" si="23"/>
        <v>18165.256803512835</v>
      </c>
      <c r="AB40" s="1">
        <f t="shared" si="24"/>
        <v>170551.85974334046</v>
      </c>
      <c r="AC40" s="1">
        <f t="shared" si="25"/>
        <v>85275.92987167023</v>
      </c>
      <c r="AD40" s="1">
        <f t="shared" si="26"/>
        <v>395370.2203141074</v>
      </c>
      <c r="AE40" s="1">
        <f t="shared" si="27"/>
        <v>100947.30394656108</v>
      </c>
      <c r="AF40" s="1">
        <f t="shared" si="28"/>
        <v>50473.65197328054</v>
      </c>
      <c r="AG40" s="1">
        <f t="shared" si="29"/>
        <v>234014.2046033916</v>
      </c>
      <c r="AH40"/>
      <c r="AI40"/>
      <c r="AJ40" s="225" t="s">
        <v>477</v>
      </c>
      <c r="AK40" s="189"/>
      <c r="AL40" s="189"/>
      <c r="AM40" s="197"/>
      <c r="AN40"/>
      <c r="AP40" t="s">
        <v>36</v>
      </c>
      <c r="AQ40" s="10" t="s">
        <v>157</v>
      </c>
      <c r="AR40" s="1">
        <v>2081483</v>
      </c>
      <c r="AS40" s="1">
        <v>612186.96335368</v>
      </c>
      <c r="AT40" s="1">
        <v>306093.48167684</v>
      </c>
      <c r="AU40" s="1">
        <v>1419160.68777444</v>
      </c>
      <c r="AV40" s="1">
        <v>70401.5007856732</v>
      </c>
      <c r="AW40" s="1">
        <v>48974.9570682944</v>
      </c>
      <c r="AX40" s="1">
        <v>202021.6979067144</v>
      </c>
      <c r="AY40" s="1">
        <f t="shared" si="30"/>
        <v>12883.474643778194</v>
      </c>
      <c r="AZ40" s="1">
        <f t="shared" si="31"/>
        <v>7531.163937766981</v>
      </c>
      <c r="BA40" s="1">
        <f t="shared" si="32"/>
        <v>17784.34839827142</v>
      </c>
      <c r="BB40" s="1">
        <f t="shared" si="33"/>
        <v>4083.287045569046</v>
      </c>
      <c r="BC40" s="1">
        <f t="shared" si="34"/>
        <v>0</v>
      </c>
      <c r="BD40" s="1">
        <f t="shared" si="35"/>
        <v>9779.880802842421</v>
      </c>
      <c r="BE40" s="1">
        <f t="shared" si="64"/>
        <v>9152.195102137515</v>
      </c>
      <c r="BF40" s="1">
        <f t="shared" si="37"/>
        <v>5884.8614506744225</v>
      </c>
      <c r="BG40" s="1">
        <f t="shared" si="38"/>
        <v>14167.598018108874</v>
      </c>
      <c r="BH40" s="1">
        <f t="shared" si="39"/>
        <v>2816.060031426928</v>
      </c>
      <c r="BI40" s="1">
        <f t="shared" si="40"/>
        <v>1408.030015713464</v>
      </c>
      <c r="BJ40" s="1">
        <f t="shared" si="41"/>
        <v>5029.483216128494</v>
      </c>
      <c r="BL40" s="2">
        <v>0.85</v>
      </c>
      <c r="BM40" s="2">
        <v>0</v>
      </c>
      <c r="BO40" s="1">
        <f t="shared" si="42"/>
        <v>12883.474643778194</v>
      </c>
      <c r="BP40" s="1">
        <f t="shared" si="43"/>
        <v>7531.163937766981</v>
      </c>
      <c r="BQ40" s="1">
        <f t="shared" si="44"/>
        <v>17784.34839827142</v>
      </c>
      <c r="BR40" s="1">
        <f t="shared" si="45"/>
        <v>1306.6518545820945</v>
      </c>
      <c r="BS40" s="1">
        <f t="shared" si="46"/>
        <v>0</v>
      </c>
      <c r="BT40" s="1">
        <f t="shared" si="47"/>
        <v>3129.561856909574</v>
      </c>
      <c r="BU40" s="1">
        <f t="shared" si="48"/>
        <v>9152.195102137515</v>
      </c>
      <c r="BV40" s="1">
        <f t="shared" si="49"/>
        <v>5884.8614506744225</v>
      </c>
      <c r="BW40" s="1">
        <f t="shared" si="50"/>
        <v>14167.598018108874</v>
      </c>
      <c r="BX40" s="1">
        <f t="shared" si="51"/>
        <v>2816.060031426928</v>
      </c>
      <c r="BY40" s="1">
        <f t="shared" si="52"/>
        <v>1408.030015713464</v>
      </c>
      <c r="BZ40" s="1">
        <f t="shared" si="53"/>
        <v>5029.483216128494</v>
      </c>
      <c r="CA40" s="1">
        <f t="shared" si="54"/>
        <v>67624.86559468624</v>
      </c>
      <c r="CB40" s="1">
        <f t="shared" si="55"/>
        <v>48974.9570682944</v>
      </c>
      <c r="CC40" s="1">
        <f t="shared" si="56"/>
        <v>195371.37896078156</v>
      </c>
      <c r="CD40" s="1">
        <f t="shared" si="1"/>
        <v>591372.6065996549</v>
      </c>
      <c r="CE40" s="1">
        <f t="shared" si="2"/>
        <v>295686.30329982744</v>
      </c>
      <c r="CF40" s="1">
        <f t="shared" si="3"/>
        <v>1370909.224390109</v>
      </c>
      <c r="CG40" t="s">
        <v>36</v>
      </c>
      <c r="CH40" s="10" t="s">
        <v>157</v>
      </c>
      <c r="CI40" s="1">
        <v>2081483</v>
      </c>
      <c r="CJ40" s="102">
        <v>1436.068</v>
      </c>
      <c r="CK40" s="1">
        <v>4082.138</v>
      </c>
      <c r="CL40" s="1">
        <f t="shared" si="57"/>
        <v>5518.206</v>
      </c>
      <c r="CM40" s="1">
        <v>1377.81380127851</v>
      </c>
      <c r="CN40" s="1">
        <v>3234.32836848925</v>
      </c>
      <c r="CO40" s="1">
        <f t="shared" si="58"/>
        <v>4612.14216976776</v>
      </c>
      <c r="CP40" s="1">
        <f t="shared" si="4"/>
        <v>1520.1620591554536</v>
      </c>
      <c r="CQ40" s="1">
        <f t="shared" si="5"/>
        <v>804.8188086244741</v>
      </c>
      <c r="CR40" s="1">
        <f t="shared" si="6"/>
        <v>2101.291972546191</v>
      </c>
      <c r="CS40" s="1">
        <f t="shared" si="7"/>
        <v>366.800933439058</v>
      </c>
      <c r="CT40" s="1">
        <f t="shared" si="8"/>
        <v>45.50625845221021</v>
      </c>
      <c r="CU40" s="1">
        <f t="shared" si="9"/>
        <v>705.6188334190764</v>
      </c>
    </row>
    <row r="41" spans="1:99" ht="12.75">
      <c r="A41" t="s">
        <v>37</v>
      </c>
      <c r="B41" s="1">
        <v>5622.792281545476</v>
      </c>
      <c r="C41" s="10" t="s">
        <v>14</v>
      </c>
      <c r="D41" s="107">
        <v>18.2</v>
      </c>
      <c r="E41" s="107">
        <v>5.9</v>
      </c>
      <c r="F41" s="107">
        <v>69.1</v>
      </c>
      <c r="G41" s="113">
        <v>5</v>
      </c>
      <c r="H41" s="107">
        <v>22.1</v>
      </c>
      <c r="I41" s="1">
        <f t="shared" si="10"/>
        <v>1023.3481952412766</v>
      </c>
      <c r="J41" s="1">
        <f t="shared" si="11"/>
        <v>331.74474461118314</v>
      </c>
      <c r="K41" s="1">
        <f t="shared" si="12"/>
        <v>3885.3494665479234</v>
      </c>
      <c r="L41" s="1">
        <f t="shared" si="13"/>
        <v>281.1396140772738</v>
      </c>
      <c r="M41" s="1">
        <f t="shared" si="14"/>
        <v>1242.6370942215501</v>
      </c>
      <c r="N41" s="12">
        <f t="shared" si="59"/>
        <v>-0.029520000000000015</v>
      </c>
      <c r="O41" s="12">
        <f t="shared" si="60"/>
        <v>-0.011639999999999998</v>
      </c>
      <c r="P41" s="12">
        <f t="shared" si="61"/>
        <v>0.04959</v>
      </c>
      <c r="Q41" s="12">
        <f t="shared" si="62"/>
        <v>-0.37744000000000005</v>
      </c>
      <c r="R41" s="12">
        <f t="shared" si="63"/>
        <v>0.09424800000000001</v>
      </c>
      <c r="S41" s="1">
        <f t="shared" si="15"/>
        <v>897.1297783103649</v>
      </c>
      <c r="T41" s="2">
        <f t="shared" si="16"/>
        <v>0.15955235999999998</v>
      </c>
      <c r="U41" s="1">
        <f t="shared" si="17"/>
        <v>103.16992450569197</v>
      </c>
      <c r="V41" s="1">
        <f t="shared" si="18"/>
        <v>62.79908448172555</v>
      </c>
      <c r="W41" s="1">
        <f t="shared" si="19"/>
        <v>31.399542240862775</v>
      </c>
      <c r="X41" s="1">
        <f t="shared" si="20"/>
        <v>145.57969584400016</v>
      </c>
      <c r="Y41" s="1">
        <f t="shared" si="21"/>
        <v>7.464119755542235</v>
      </c>
      <c r="Z41" s="1">
        <f t="shared" si="22"/>
        <v>3.7320598777711176</v>
      </c>
      <c r="AA41" s="1">
        <f t="shared" si="23"/>
        <v>17.303186706029734</v>
      </c>
      <c r="AB41" s="1">
        <f t="shared" si="24"/>
        <v>248.48643183334676</v>
      </c>
      <c r="AC41" s="1">
        <f t="shared" si="25"/>
        <v>124.24321591667338</v>
      </c>
      <c r="AD41" s="1">
        <f t="shared" si="26"/>
        <v>576.0367283409403</v>
      </c>
      <c r="AE41" s="1">
        <f t="shared" si="27"/>
        <v>147.07570705253914</v>
      </c>
      <c r="AF41" s="1">
        <f t="shared" si="28"/>
        <v>73.53785352626957</v>
      </c>
      <c r="AG41" s="1">
        <f t="shared" si="29"/>
        <v>340.9482299854317</v>
      </c>
      <c r="AH41"/>
      <c r="AI41"/>
      <c r="AJ41" s="195" t="s">
        <v>478</v>
      </c>
      <c r="AK41" s="191"/>
      <c r="AL41" s="191"/>
      <c r="AM41" s="198"/>
      <c r="AN41"/>
      <c r="AP41" t="s">
        <v>37</v>
      </c>
      <c r="AQ41" s="10" t="s">
        <v>157</v>
      </c>
      <c r="AR41" s="1">
        <v>5622.792281545476</v>
      </c>
      <c r="AS41" s="1">
        <v>897.1297783103649</v>
      </c>
      <c r="AT41" s="1">
        <v>448.56488915518247</v>
      </c>
      <c r="AU41" s="1">
        <v>2079.7099406285733</v>
      </c>
      <c r="AV41" s="1">
        <v>103.16992450569197</v>
      </c>
      <c r="AW41" s="1">
        <v>71.7703822648292</v>
      </c>
      <c r="AX41" s="1">
        <v>296.0528268424205</v>
      </c>
      <c r="AY41" s="1">
        <f t="shared" si="30"/>
        <v>18.880096184541628</v>
      </c>
      <c r="AZ41" s="1">
        <f t="shared" si="31"/>
        <v>11.036549025635654</v>
      </c>
      <c r="BA41" s="1">
        <f t="shared" si="32"/>
        <v>26.062084773141265</v>
      </c>
      <c r="BB41" s="1">
        <f t="shared" si="33"/>
        <v>5.983855621330134</v>
      </c>
      <c r="BC41" s="1">
        <f t="shared" si="34"/>
        <v>0</v>
      </c>
      <c r="BD41" s="1">
        <f t="shared" si="35"/>
        <v>14.331932598647803</v>
      </c>
      <c r="BE41" s="1">
        <f t="shared" si="64"/>
        <v>13.412090185739956</v>
      </c>
      <c r="BF41" s="1">
        <f t="shared" si="37"/>
        <v>8.623973989430793</v>
      </c>
      <c r="BG41" s="1">
        <f t="shared" si="38"/>
        <v>20.761915607525452</v>
      </c>
      <c r="BH41" s="1">
        <f t="shared" si="39"/>
        <v>4.126796980227679</v>
      </c>
      <c r="BI41" s="1">
        <f t="shared" si="40"/>
        <v>2.0633984901138396</v>
      </c>
      <c r="BJ41" s="1">
        <f t="shared" si="41"/>
        <v>7.370459406686635</v>
      </c>
      <c r="BL41" s="2">
        <v>0.99</v>
      </c>
      <c r="BM41" s="2">
        <v>0</v>
      </c>
      <c r="BO41" s="1">
        <f t="shared" si="42"/>
        <v>18.880096184541628</v>
      </c>
      <c r="BP41" s="1">
        <f t="shared" si="43"/>
        <v>11.036549025635654</v>
      </c>
      <c r="BQ41" s="1">
        <f t="shared" si="44"/>
        <v>26.062084773141265</v>
      </c>
      <c r="BR41" s="1">
        <f t="shared" si="45"/>
        <v>1.2446419692366675</v>
      </c>
      <c r="BS41" s="1">
        <f t="shared" si="46"/>
        <v>0</v>
      </c>
      <c r="BT41" s="1">
        <f t="shared" si="47"/>
        <v>2.981041980518743</v>
      </c>
      <c r="BU41" s="1">
        <f t="shared" si="48"/>
        <v>13.412090185739956</v>
      </c>
      <c r="BV41" s="1">
        <f t="shared" si="49"/>
        <v>8.623973989430793</v>
      </c>
      <c r="BW41" s="1">
        <f t="shared" si="50"/>
        <v>20.761915607525452</v>
      </c>
      <c r="BX41" s="1">
        <f t="shared" si="51"/>
        <v>4.126796980227679</v>
      </c>
      <c r="BY41" s="1">
        <f t="shared" si="52"/>
        <v>2.0633984901138396</v>
      </c>
      <c r="BZ41" s="1">
        <f t="shared" si="53"/>
        <v>7.370459406686635</v>
      </c>
      <c r="CA41" s="1">
        <f t="shared" si="54"/>
        <v>98.4307108535985</v>
      </c>
      <c r="CB41" s="1">
        <f t="shared" si="55"/>
        <v>71.7703822648292</v>
      </c>
      <c r="CC41" s="1">
        <f t="shared" si="56"/>
        <v>284.7019362242914</v>
      </c>
      <c r="CD41" s="1">
        <f t="shared" si="1"/>
        <v>861.6034390892745</v>
      </c>
      <c r="CE41" s="1">
        <f t="shared" si="2"/>
        <v>430.80171954463725</v>
      </c>
      <c r="CF41" s="1">
        <f t="shared" si="3"/>
        <v>1997.353426979682</v>
      </c>
      <c r="CG41" t="s">
        <v>37</v>
      </c>
      <c r="CH41" s="10" t="s">
        <v>157</v>
      </c>
      <c r="CI41" s="1">
        <v>5622.792281545476</v>
      </c>
      <c r="CJ41" s="102">
        <v>0.1440374</v>
      </c>
      <c r="CK41" s="1">
        <v>1.198275</v>
      </c>
      <c r="CL41" s="1">
        <f t="shared" si="57"/>
        <v>1.3423124</v>
      </c>
      <c r="CM41" s="1">
        <v>0.10802805</v>
      </c>
      <c r="CN41" s="1">
        <v>1.49784375</v>
      </c>
      <c r="CO41" s="1">
        <f t="shared" si="58"/>
        <v>1.6058717999999998</v>
      </c>
      <c r="CP41" s="1">
        <f t="shared" si="4"/>
        <v>0.52929534528</v>
      </c>
      <c r="CQ41" s="1">
        <f t="shared" si="5"/>
        <v>0.28022462909999996</v>
      </c>
      <c r="CR41" s="1">
        <f t="shared" si="6"/>
        <v>0.7316351920799999</v>
      </c>
      <c r="CS41" s="1">
        <f t="shared" si="7"/>
        <v>0.08539100476255519</v>
      </c>
      <c r="CT41" s="1">
        <f t="shared" si="8"/>
        <v>0.010334632164851788</v>
      </c>
      <c r="CU41" s="1">
        <f t="shared" si="9"/>
        <v>0.1687301433392174</v>
      </c>
    </row>
    <row r="42" spans="1:99" ht="12.75">
      <c r="A42" t="s">
        <v>38</v>
      </c>
      <c r="B42" s="1">
        <v>969597</v>
      </c>
      <c r="C42" s="10" t="s">
        <v>14</v>
      </c>
      <c r="D42" s="113">
        <v>20.7</v>
      </c>
      <c r="E42" s="105">
        <v>4</v>
      </c>
      <c r="F42" s="29">
        <v>79.7</v>
      </c>
      <c r="G42" s="116">
        <v>99</v>
      </c>
      <c r="H42" s="116">
        <v>23.1</v>
      </c>
      <c r="I42" s="1">
        <f t="shared" si="10"/>
        <v>200706.579</v>
      </c>
      <c r="J42" s="1">
        <f t="shared" si="11"/>
        <v>38783.88</v>
      </c>
      <c r="K42" s="1">
        <f t="shared" si="12"/>
        <v>772768.809</v>
      </c>
      <c r="L42" s="1">
        <f t="shared" si="13"/>
        <v>959901.03</v>
      </c>
      <c r="M42" s="1">
        <f t="shared" si="14"/>
        <v>223976.90700000004</v>
      </c>
      <c r="N42" s="12">
        <f t="shared" si="59"/>
        <v>-0.009520000000000018</v>
      </c>
      <c r="O42" s="12">
        <f t="shared" si="60"/>
        <v>-0.01924</v>
      </c>
      <c r="P42" s="12">
        <f t="shared" si="61"/>
        <v>0.08139000000000003</v>
      </c>
      <c r="Q42" s="12">
        <f t="shared" si="62"/>
        <v>0.37456</v>
      </c>
      <c r="R42" s="12">
        <f t="shared" si="63"/>
        <v>0.10414800000000002</v>
      </c>
      <c r="S42" s="1">
        <f t="shared" si="15"/>
        <v>326651.7607729199</v>
      </c>
      <c r="T42" s="2">
        <f t="shared" si="16"/>
        <v>0.3368943599999999</v>
      </c>
      <c r="U42" s="1">
        <f t="shared" si="17"/>
        <v>37564.95248888579</v>
      </c>
      <c r="V42" s="1">
        <f t="shared" si="18"/>
        <v>22865.623254104397</v>
      </c>
      <c r="W42" s="1">
        <f t="shared" si="19"/>
        <v>11432.811627052199</v>
      </c>
      <c r="X42" s="1">
        <f t="shared" si="20"/>
        <v>53006.6720890602</v>
      </c>
      <c r="Y42" s="1">
        <f t="shared" si="21"/>
        <v>4285.671101340709</v>
      </c>
      <c r="Z42" s="1">
        <f t="shared" si="22"/>
        <v>2142.8355506703547</v>
      </c>
      <c r="AA42" s="1">
        <f t="shared" si="23"/>
        <v>9934.964825835283</v>
      </c>
      <c r="AB42" s="1">
        <f t="shared" si="24"/>
        <v>91041.03384859793</v>
      </c>
      <c r="AC42" s="1">
        <f t="shared" si="25"/>
        <v>45520.516924298965</v>
      </c>
      <c r="AD42" s="1">
        <f t="shared" si="26"/>
        <v>211049.66937629523</v>
      </c>
      <c r="AE42" s="1">
        <f t="shared" si="27"/>
        <v>53885.937856989134</v>
      </c>
      <c r="AF42" s="1">
        <f t="shared" si="28"/>
        <v>26942.968928494567</v>
      </c>
      <c r="AG42" s="1">
        <f t="shared" si="29"/>
        <v>124917.40139574755</v>
      </c>
      <c r="AH42"/>
      <c r="AI42"/>
      <c r="AJ42" s="195" t="s">
        <v>479</v>
      </c>
      <c r="AK42" s="191"/>
      <c r="AL42" s="191"/>
      <c r="AM42" s="198"/>
      <c r="AN42"/>
      <c r="AP42" t="s">
        <v>38</v>
      </c>
      <c r="AQ42" s="10" t="s">
        <v>157</v>
      </c>
      <c r="AR42" s="1">
        <v>969597</v>
      </c>
      <c r="AS42" s="1">
        <v>326651.7607729199</v>
      </c>
      <c r="AT42" s="1">
        <v>163325.88038645996</v>
      </c>
      <c r="AU42" s="1">
        <v>757238.17270086</v>
      </c>
      <c r="AV42" s="1">
        <v>37564.95248888579</v>
      </c>
      <c r="AW42" s="1">
        <v>26132.140861833595</v>
      </c>
      <c r="AX42" s="1">
        <v>107795.08105506358</v>
      </c>
      <c r="AY42" s="1">
        <f t="shared" si="30"/>
        <v>6874.3863054661</v>
      </c>
      <c r="AZ42" s="1">
        <f t="shared" si="31"/>
        <v>4018.491258723263</v>
      </c>
      <c r="BA42" s="1">
        <f t="shared" si="32"/>
        <v>9489.402856065404</v>
      </c>
      <c r="BB42" s="1">
        <f t="shared" si="33"/>
        <v>2178.767244355376</v>
      </c>
      <c r="BC42" s="1">
        <f t="shared" si="34"/>
        <v>0</v>
      </c>
      <c r="BD42" s="1">
        <f t="shared" si="35"/>
        <v>5218.365426955561</v>
      </c>
      <c r="BE42" s="1">
        <f t="shared" si="64"/>
        <v>4883.443823555153</v>
      </c>
      <c r="BF42" s="1">
        <f t="shared" si="37"/>
        <v>3140.0543785459636</v>
      </c>
      <c r="BG42" s="1">
        <f t="shared" si="38"/>
        <v>7559.571038863378</v>
      </c>
      <c r="BH42" s="1">
        <f t="shared" si="39"/>
        <v>1502.5980995554316</v>
      </c>
      <c r="BI42" s="1">
        <f t="shared" si="40"/>
        <v>751.2990497777158</v>
      </c>
      <c r="BJ42" s="1">
        <f t="shared" si="41"/>
        <v>2683.640205806001</v>
      </c>
      <c r="BL42" s="2">
        <v>0.84</v>
      </c>
      <c r="BM42" s="2">
        <v>0</v>
      </c>
      <c r="BO42" s="1">
        <f t="shared" si="42"/>
        <v>6874.3863054661</v>
      </c>
      <c r="BP42" s="1">
        <f t="shared" si="43"/>
        <v>4018.491258723263</v>
      </c>
      <c r="BQ42" s="1">
        <f t="shared" si="44"/>
        <v>9489.402856065404</v>
      </c>
      <c r="BR42" s="1">
        <f t="shared" si="45"/>
        <v>714.6356561485632</v>
      </c>
      <c r="BS42" s="1">
        <f t="shared" si="46"/>
        <v>0</v>
      </c>
      <c r="BT42" s="1">
        <f t="shared" si="47"/>
        <v>1711.623860041424</v>
      </c>
      <c r="BU42" s="1">
        <f t="shared" si="48"/>
        <v>4883.443823555153</v>
      </c>
      <c r="BV42" s="1">
        <f t="shared" si="49"/>
        <v>3140.0543785459636</v>
      </c>
      <c r="BW42" s="1">
        <f t="shared" si="50"/>
        <v>7559.571038863378</v>
      </c>
      <c r="BX42" s="1">
        <f t="shared" si="51"/>
        <v>1502.5980995554316</v>
      </c>
      <c r="BY42" s="1">
        <f t="shared" si="52"/>
        <v>751.2990497777158</v>
      </c>
      <c r="BZ42" s="1">
        <f t="shared" si="53"/>
        <v>2683.640205806001</v>
      </c>
      <c r="CA42" s="1">
        <f t="shared" si="54"/>
        <v>36100.82090067898</v>
      </c>
      <c r="CB42" s="1">
        <f t="shared" si="55"/>
        <v>26132.140861833595</v>
      </c>
      <c r="CC42" s="1">
        <f t="shared" si="56"/>
        <v>104288.33948814945</v>
      </c>
      <c r="CD42" s="1">
        <f t="shared" si="1"/>
        <v>315676.2616109498</v>
      </c>
      <c r="CE42" s="1">
        <f t="shared" si="2"/>
        <v>157838.1308054749</v>
      </c>
      <c r="CF42" s="1">
        <f t="shared" si="3"/>
        <v>731794.9700981111</v>
      </c>
      <c r="CG42" t="s">
        <v>38</v>
      </c>
      <c r="CH42" s="10" t="s">
        <v>157</v>
      </c>
      <c r="CI42" s="1">
        <v>969597</v>
      </c>
      <c r="CJ42" s="102">
        <v>1252.4</v>
      </c>
      <c r="CK42" s="1">
        <v>5502.676</v>
      </c>
      <c r="CL42" s="1">
        <f t="shared" si="57"/>
        <v>6755.076000000001</v>
      </c>
      <c r="CM42" s="1">
        <v>1363.53530097087</v>
      </c>
      <c r="CN42" s="1">
        <v>5898.27176918978</v>
      </c>
      <c r="CO42" s="1">
        <f t="shared" si="58"/>
        <v>7261.807070160649</v>
      </c>
      <c r="CP42" s="1">
        <f t="shared" si="4"/>
        <v>2393.49161032495</v>
      </c>
      <c r="CQ42" s="1">
        <f t="shared" si="5"/>
        <v>1267.1853337430332</v>
      </c>
      <c r="CR42" s="1">
        <f t="shared" si="6"/>
        <v>3308.479301165192</v>
      </c>
      <c r="CS42" s="1">
        <f t="shared" si="7"/>
        <v>590.7907620173894</v>
      </c>
      <c r="CT42" s="1">
        <f t="shared" si="8"/>
        <v>73.42262421913614</v>
      </c>
      <c r="CU42" s="1">
        <f t="shared" si="9"/>
        <v>1134.4311249374023</v>
      </c>
    </row>
    <row r="43" spans="1:99" ht="12.75">
      <c r="A43" t="s">
        <v>39</v>
      </c>
      <c r="B43" s="1">
        <v>862745</v>
      </c>
      <c r="C43" s="10" t="s">
        <v>14</v>
      </c>
      <c r="D43" s="113">
        <v>21.1</v>
      </c>
      <c r="E43" s="105">
        <v>3.1</v>
      </c>
      <c r="F43" s="29">
        <v>85.1</v>
      </c>
      <c r="G43" s="113">
        <v>98</v>
      </c>
      <c r="H43" s="115">
        <v>21.9</v>
      </c>
      <c r="I43" s="1">
        <f t="shared" si="10"/>
        <v>182039.195</v>
      </c>
      <c r="J43" s="1">
        <f t="shared" si="11"/>
        <v>26745.095</v>
      </c>
      <c r="K43" s="1">
        <f t="shared" si="12"/>
        <v>734195.995</v>
      </c>
      <c r="L43" s="1">
        <f t="shared" si="13"/>
        <v>845490.1</v>
      </c>
      <c r="M43" s="1">
        <f t="shared" si="14"/>
        <v>188941.155</v>
      </c>
      <c r="N43" s="12">
        <f t="shared" si="59"/>
        <v>-0.006319999999999992</v>
      </c>
      <c r="O43" s="12">
        <f t="shared" si="60"/>
        <v>-0.02284</v>
      </c>
      <c r="P43" s="12">
        <f t="shared" si="61"/>
        <v>0.09759000000000001</v>
      </c>
      <c r="Q43" s="12">
        <f t="shared" si="62"/>
        <v>0.36656</v>
      </c>
      <c r="R43" s="12">
        <f t="shared" si="63"/>
        <v>0.09226799999999998</v>
      </c>
      <c r="S43" s="1">
        <f t="shared" si="15"/>
        <v>289879.5247062</v>
      </c>
      <c r="T43" s="2">
        <f t="shared" si="16"/>
        <v>0.33599676</v>
      </c>
      <c r="U43" s="1">
        <f t="shared" si="17"/>
        <v>33336.145341213</v>
      </c>
      <c r="V43" s="1">
        <f t="shared" si="18"/>
        <v>20291.566729434002</v>
      </c>
      <c r="W43" s="1">
        <f t="shared" si="19"/>
        <v>10145.783364717001</v>
      </c>
      <c r="X43" s="1">
        <f t="shared" si="20"/>
        <v>47039.541054597</v>
      </c>
      <c r="Y43" s="1">
        <f t="shared" si="21"/>
        <v>4081.503707863295</v>
      </c>
      <c r="Z43" s="1">
        <f t="shared" si="22"/>
        <v>2040.7518539316475</v>
      </c>
      <c r="AA43" s="1">
        <f t="shared" si="23"/>
        <v>9461.667686410365</v>
      </c>
      <c r="AB43" s="1">
        <f t="shared" si="24"/>
        <v>80892.57426568939</v>
      </c>
      <c r="AC43" s="1">
        <f t="shared" si="25"/>
        <v>40446.28713284469</v>
      </c>
      <c r="AD43" s="1">
        <f t="shared" si="26"/>
        <v>187523.69488864357</v>
      </c>
      <c r="AE43" s="1">
        <f t="shared" si="27"/>
        <v>47879.20397764625</v>
      </c>
      <c r="AF43" s="1">
        <f t="shared" si="28"/>
        <v>23939.601988823124</v>
      </c>
      <c r="AG43" s="1">
        <f t="shared" si="29"/>
        <v>110992.70012999812</v>
      </c>
      <c r="AH43"/>
      <c r="AI43"/>
      <c r="AJ43" s="195" t="s">
        <v>480</v>
      </c>
      <c r="AK43" s="191"/>
      <c r="AL43" s="191"/>
      <c r="AM43" s="198"/>
      <c r="AN43"/>
      <c r="AP43" t="s">
        <v>39</v>
      </c>
      <c r="AQ43" s="10" t="s">
        <v>157</v>
      </c>
      <c r="AR43" s="1">
        <v>862745</v>
      </c>
      <c r="AS43" s="1">
        <v>289879.5247062</v>
      </c>
      <c r="AT43" s="1">
        <v>144939.7623531</v>
      </c>
      <c r="AU43" s="1">
        <v>671993.4436370999</v>
      </c>
      <c r="AV43" s="1">
        <v>33336.145341213</v>
      </c>
      <c r="AW43" s="1">
        <v>23190.361976496</v>
      </c>
      <c r="AX43" s="1">
        <v>95660.243153046</v>
      </c>
      <c r="AY43" s="1">
        <f t="shared" si="30"/>
        <v>6100.514597441978</v>
      </c>
      <c r="AZ43" s="1">
        <f t="shared" si="31"/>
        <v>3566.1168130806827</v>
      </c>
      <c r="BA43" s="1">
        <f t="shared" si="32"/>
        <v>8421.150350308908</v>
      </c>
      <c r="BB43" s="1">
        <f t="shared" si="33"/>
        <v>1933.4964297903541</v>
      </c>
      <c r="BC43" s="1">
        <f t="shared" si="34"/>
        <v>0</v>
      </c>
      <c r="BD43" s="1">
        <f t="shared" si="35"/>
        <v>4630.917298990877</v>
      </c>
      <c r="BE43" s="1">
        <f t="shared" si="64"/>
        <v>4333.69889435769</v>
      </c>
      <c r="BF43" s="1">
        <f t="shared" si="37"/>
        <v>2786.5683890719947</v>
      </c>
      <c r="BG43" s="1">
        <f t="shared" si="38"/>
        <v>6708.565888465704</v>
      </c>
      <c r="BH43" s="1">
        <f t="shared" si="39"/>
        <v>1333.44581364852</v>
      </c>
      <c r="BI43" s="1">
        <f t="shared" si="40"/>
        <v>666.72290682426</v>
      </c>
      <c r="BJ43" s="1">
        <f t="shared" si="41"/>
        <v>2381.534223176257</v>
      </c>
      <c r="BL43" s="2">
        <v>0.81</v>
      </c>
      <c r="BM43" s="2">
        <v>0</v>
      </c>
      <c r="BO43" s="1">
        <f t="shared" si="42"/>
        <v>6100.514597441978</v>
      </c>
      <c r="BP43" s="1">
        <f t="shared" si="43"/>
        <v>3566.1168130806827</v>
      </c>
      <c r="BQ43" s="1">
        <f t="shared" si="44"/>
        <v>8421.150350308908</v>
      </c>
      <c r="BR43" s="1">
        <f t="shared" si="45"/>
        <v>680.5907432862045</v>
      </c>
      <c r="BS43" s="1">
        <f t="shared" si="46"/>
        <v>0</v>
      </c>
      <c r="BT43" s="1">
        <f t="shared" si="47"/>
        <v>1630.082889244788</v>
      </c>
      <c r="BU43" s="1">
        <f t="shared" si="48"/>
        <v>4333.69889435769</v>
      </c>
      <c r="BV43" s="1">
        <f t="shared" si="49"/>
        <v>2786.5683890719947</v>
      </c>
      <c r="BW43" s="1">
        <f t="shared" si="50"/>
        <v>6708.565888465704</v>
      </c>
      <c r="BX43" s="1">
        <f t="shared" si="51"/>
        <v>1333.44581364852</v>
      </c>
      <c r="BY43" s="1">
        <f t="shared" si="52"/>
        <v>666.72290682426</v>
      </c>
      <c r="BZ43" s="1">
        <f t="shared" si="53"/>
        <v>2381.534223176257</v>
      </c>
      <c r="CA43" s="1">
        <f t="shared" si="54"/>
        <v>32083.23965470885</v>
      </c>
      <c r="CB43" s="1">
        <f t="shared" si="55"/>
        <v>23190.361976496</v>
      </c>
      <c r="CC43" s="1">
        <f t="shared" si="56"/>
        <v>92659.40874329991</v>
      </c>
      <c r="CD43" s="1">
        <f t="shared" si="1"/>
        <v>280487.4281057191</v>
      </c>
      <c r="CE43" s="1">
        <f t="shared" si="2"/>
        <v>140243.71405285955</v>
      </c>
      <c r="CF43" s="1">
        <f t="shared" si="3"/>
        <v>650220.8560632579</v>
      </c>
      <c r="CG43" t="s">
        <v>39</v>
      </c>
      <c r="CH43" s="10" t="s">
        <v>157</v>
      </c>
      <c r="CI43" s="1">
        <v>862745</v>
      </c>
      <c r="CJ43" s="102">
        <v>755.53</v>
      </c>
      <c r="CK43" s="1">
        <v>2332.652</v>
      </c>
      <c r="CL43" s="1">
        <f t="shared" si="57"/>
        <v>3088.182</v>
      </c>
      <c r="CM43" s="1">
        <v>840.349161609709</v>
      </c>
      <c r="CN43" s="1">
        <v>2480.36604322788</v>
      </c>
      <c r="CO43" s="1">
        <f t="shared" si="58"/>
        <v>3320.7152048375888</v>
      </c>
      <c r="CP43" s="1">
        <f t="shared" si="4"/>
        <v>1094.5077315144692</v>
      </c>
      <c r="CQ43" s="1">
        <f t="shared" si="5"/>
        <v>579.4648032441592</v>
      </c>
      <c r="CR43" s="1">
        <f t="shared" si="6"/>
        <v>1512.9178473240054</v>
      </c>
      <c r="CS43" s="1">
        <f t="shared" si="7"/>
        <v>288.2118318726281</v>
      </c>
      <c r="CT43" s="1">
        <f t="shared" si="8"/>
        <v>36.00513704338982</v>
      </c>
      <c r="CU43" s="1">
        <f t="shared" si="9"/>
        <v>550.4245151128652</v>
      </c>
    </row>
    <row r="44" spans="1:99" ht="12.75">
      <c r="A44" t="s">
        <v>60</v>
      </c>
      <c r="B44" s="1">
        <v>1692247</v>
      </c>
      <c r="C44" s="10" t="s">
        <v>14</v>
      </c>
      <c r="D44" s="113">
        <v>9.3</v>
      </c>
      <c r="E44" s="115">
        <v>6.5</v>
      </c>
      <c r="F44" s="115">
        <v>56.7</v>
      </c>
      <c r="G44" s="116">
        <v>67</v>
      </c>
      <c r="H44" s="115">
        <v>7.4</v>
      </c>
      <c r="I44" s="1">
        <f t="shared" si="10"/>
        <v>157378.97100000002</v>
      </c>
      <c r="J44" s="1">
        <f t="shared" si="11"/>
        <v>109996.055</v>
      </c>
      <c r="K44" s="1">
        <f t="shared" si="12"/>
        <v>959504.0490000001</v>
      </c>
      <c r="L44" s="1">
        <f t="shared" si="13"/>
        <v>1133805.49</v>
      </c>
      <c r="M44" s="1">
        <f t="shared" si="14"/>
        <v>125226.278</v>
      </c>
      <c r="N44" s="12">
        <f t="shared" si="59"/>
        <v>-0.10072000000000002</v>
      </c>
      <c r="O44" s="12">
        <f t="shared" si="60"/>
        <v>-0.009239999999999998</v>
      </c>
      <c r="P44" s="12">
        <f t="shared" si="61"/>
        <v>0.012390000000000035</v>
      </c>
      <c r="Q44" s="12">
        <f t="shared" si="62"/>
        <v>0.11856</v>
      </c>
      <c r="R44" s="12">
        <f t="shared" si="63"/>
        <v>-0.05128199999999999</v>
      </c>
      <c r="S44" s="1">
        <f t="shared" si="15"/>
        <v>361016.79985272</v>
      </c>
      <c r="T44" s="2">
        <f t="shared" si="16"/>
        <v>0.21333575999999999</v>
      </c>
      <c r="U44" s="1">
        <f t="shared" si="17"/>
        <v>41516.9319830628</v>
      </c>
      <c r="V44" s="1">
        <f t="shared" si="18"/>
        <v>25271.1759896904</v>
      </c>
      <c r="W44" s="1">
        <f t="shared" si="19"/>
        <v>12635.5879948452</v>
      </c>
      <c r="X44" s="1">
        <f t="shared" si="20"/>
        <v>58583.180703373204</v>
      </c>
      <c r="Y44" s="1">
        <f t="shared" si="21"/>
        <v>4852.065790020557</v>
      </c>
      <c r="Z44" s="1">
        <f t="shared" si="22"/>
        <v>2426.0328950102785</v>
      </c>
      <c r="AA44" s="1">
        <f t="shared" si="23"/>
        <v>11247.970695047654</v>
      </c>
      <c r="AB44" s="1">
        <f t="shared" si="24"/>
        <v>100660.55254095062</v>
      </c>
      <c r="AC44" s="1">
        <f t="shared" si="25"/>
        <v>50330.27627047531</v>
      </c>
      <c r="AD44" s="1">
        <f t="shared" si="26"/>
        <v>233349.46270856736</v>
      </c>
      <c r="AE44" s="1">
        <f t="shared" si="27"/>
        <v>59579.59888606197</v>
      </c>
      <c r="AF44" s="1">
        <f t="shared" si="28"/>
        <v>29789.799443030985</v>
      </c>
      <c r="AG44" s="1">
        <f t="shared" si="29"/>
        <v>138116.34287223456</v>
      </c>
      <c r="AH44"/>
      <c r="AI44"/>
      <c r="AJ44" s="195" t="s">
        <v>481</v>
      </c>
      <c r="AK44" s="191"/>
      <c r="AL44" s="191"/>
      <c r="AM44" s="198"/>
      <c r="AN44"/>
      <c r="AP44" t="s">
        <v>60</v>
      </c>
      <c r="AQ44" s="10" t="s">
        <v>157</v>
      </c>
      <c r="AR44" s="1">
        <v>1692247</v>
      </c>
      <c r="AS44" s="1">
        <v>361016.79985272</v>
      </c>
      <c r="AT44" s="1">
        <v>180508.39992636</v>
      </c>
      <c r="AU44" s="1">
        <v>836902.58147676</v>
      </c>
      <c r="AV44" s="1">
        <v>41516.9319830628</v>
      </c>
      <c r="AW44" s="1">
        <v>28881.3439882176</v>
      </c>
      <c r="AX44" s="1">
        <v>119135.5439513976</v>
      </c>
      <c r="AY44" s="1">
        <f t="shared" si="30"/>
        <v>7597.598552900492</v>
      </c>
      <c r="AZ44" s="1">
        <f t="shared" si="31"/>
        <v>4441.252210083511</v>
      </c>
      <c r="BA44" s="1">
        <f t="shared" si="32"/>
        <v>10487.72504242384</v>
      </c>
      <c r="BB44" s="1">
        <f t="shared" si="33"/>
        <v>2407.982055017643</v>
      </c>
      <c r="BC44" s="1">
        <f t="shared" si="34"/>
        <v>0</v>
      </c>
      <c r="BD44" s="1">
        <f t="shared" si="35"/>
        <v>5767.357819972755</v>
      </c>
      <c r="BE44" s="1">
        <f t="shared" si="64"/>
        <v>5397.201157798164</v>
      </c>
      <c r="BF44" s="1">
        <f t="shared" si="37"/>
        <v>3470.4003444642194</v>
      </c>
      <c r="BG44" s="1">
        <f t="shared" si="38"/>
        <v>8354.867392271557</v>
      </c>
      <c r="BH44" s="1">
        <f t="shared" si="39"/>
        <v>1660.677279322512</v>
      </c>
      <c r="BI44" s="1">
        <f t="shared" si="40"/>
        <v>830.338639661256</v>
      </c>
      <c r="BJ44" s="1">
        <f t="shared" si="41"/>
        <v>2965.9696208700066</v>
      </c>
      <c r="BL44" s="2">
        <v>0.83</v>
      </c>
      <c r="BM44" s="2">
        <v>0</v>
      </c>
      <c r="BO44" s="1">
        <f t="shared" si="42"/>
        <v>7597.598552900492</v>
      </c>
      <c r="BP44" s="1">
        <f t="shared" si="43"/>
        <v>4441.252210083511</v>
      </c>
      <c r="BQ44" s="1">
        <f t="shared" si="44"/>
        <v>10487.72504242384</v>
      </c>
      <c r="BR44" s="1">
        <f t="shared" si="45"/>
        <v>809.081970485928</v>
      </c>
      <c r="BS44" s="1">
        <f t="shared" si="46"/>
        <v>0</v>
      </c>
      <c r="BT44" s="1">
        <f t="shared" si="47"/>
        <v>1937.8322275108458</v>
      </c>
      <c r="BU44" s="1">
        <f t="shared" si="48"/>
        <v>5397.201157798164</v>
      </c>
      <c r="BV44" s="1">
        <f t="shared" si="49"/>
        <v>3470.4003444642194</v>
      </c>
      <c r="BW44" s="1">
        <f t="shared" si="50"/>
        <v>8354.867392271557</v>
      </c>
      <c r="BX44" s="1">
        <f t="shared" si="51"/>
        <v>1660.677279322512</v>
      </c>
      <c r="BY44" s="1">
        <f t="shared" si="52"/>
        <v>830.338639661256</v>
      </c>
      <c r="BZ44" s="1">
        <f t="shared" si="53"/>
        <v>2965.9696208700066</v>
      </c>
      <c r="CA44" s="1">
        <f t="shared" si="54"/>
        <v>39918.03189853109</v>
      </c>
      <c r="CB44" s="1">
        <f t="shared" si="55"/>
        <v>28881.3439882176</v>
      </c>
      <c r="CC44" s="1">
        <f t="shared" si="56"/>
        <v>115306.01835893569</v>
      </c>
      <c r="CD44" s="1">
        <f t="shared" si="1"/>
        <v>349031.04209760966</v>
      </c>
      <c r="CE44" s="1">
        <f t="shared" si="2"/>
        <v>174515.52104880483</v>
      </c>
      <c r="CF44" s="1">
        <f t="shared" si="3"/>
        <v>809117.4157717315</v>
      </c>
      <c r="CG44" t="s">
        <v>60</v>
      </c>
      <c r="CH44" s="10" t="s">
        <v>157</v>
      </c>
      <c r="CI44" s="1">
        <v>1692247</v>
      </c>
      <c r="CJ44" s="102">
        <v>474.1738</v>
      </c>
      <c r="CK44" s="1">
        <v>2840.246</v>
      </c>
      <c r="CL44" s="1">
        <f t="shared" si="57"/>
        <v>3314.4198</v>
      </c>
      <c r="CM44" s="1">
        <v>528.007052360685</v>
      </c>
      <c r="CN44" s="1">
        <v>1932.50654958834</v>
      </c>
      <c r="CO44" s="1">
        <f t="shared" si="58"/>
        <v>2460.513601949025</v>
      </c>
      <c r="CP44" s="1">
        <f t="shared" si="4"/>
        <v>810.9852832023987</v>
      </c>
      <c r="CQ44" s="1">
        <f t="shared" si="5"/>
        <v>429.35962354010485</v>
      </c>
      <c r="CR44" s="1">
        <f t="shared" si="6"/>
        <v>1121.0099970479757</v>
      </c>
      <c r="CS44" s="1">
        <f t="shared" si="7"/>
        <v>204.65354922791317</v>
      </c>
      <c r="CT44" s="1">
        <f t="shared" si="8"/>
        <v>25.47823354329411</v>
      </c>
      <c r="CU44" s="1">
        <f t="shared" si="9"/>
        <v>392.25909295907513</v>
      </c>
    </row>
    <row r="45" spans="1:99" ht="12.75">
      <c r="A45" t="s">
        <v>40</v>
      </c>
      <c r="B45" s="1">
        <v>225120</v>
      </c>
      <c r="C45" s="121" t="s">
        <v>41</v>
      </c>
      <c r="D45" s="113">
        <v>11</v>
      </c>
      <c r="E45" s="113">
        <v>13</v>
      </c>
      <c r="F45" s="115">
        <v>80</v>
      </c>
      <c r="G45" s="113">
        <v>44</v>
      </c>
      <c r="H45" s="107">
        <v>14.5</v>
      </c>
      <c r="I45" s="1">
        <f t="shared" si="10"/>
        <v>24763.2</v>
      </c>
      <c r="J45" s="1">
        <f t="shared" si="11"/>
        <v>29265.6</v>
      </c>
      <c r="K45" s="1">
        <f t="shared" si="12"/>
        <v>180096</v>
      </c>
      <c r="L45" s="1">
        <f t="shared" si="13"/>
        <v>99052.8</v>
      </c>
      <c r="M45" s="1">
        <f t="shared" si="14"/>
        <v>32642.4</v>
      </c>
      <c r="N45" s="12">
        <f t="shared" si="59"/>
        <v>-0.08712000000000002</v>
      </c>
      <c r="O45" s="12">
        <f t="shared" si="60"/>
        <v>0.016760000000000004</v>
      </c>
      <c r="P45" s="12">
        <f t="shared" si="61"/>
        <v>0.08229000000000003</v>
      </c>
      <c r="Q45" s="12">
        <f t="shared" si="62"/>
        <v>-0.06544000000000004</v>
      </c>
      <c r="R45" s="12">
        <f t="shared" si="63"/>
        <v>0.019007999999999994</v>
      </c>
      <c r="S45" s="1">
        <f t="shared" si="15"/>
        <v>47817.6401472</v>
      </c>
      <c r="T45" s="2">
        <f t="shared" si="16"/>
        <v>0.21240956</v>
      </c>
      <c r="U45" s="1">
        <f t="shared" si="17"/>
        <v>5499.028616928</v>
      </c>
      <c r="V45" s="1">
        <f t="shared" si="18"/>
        <v>3347.2348103040003</v>
      </c>
      <c r="W45" s="1">
        <f t="shared" si="19"/>
        <v>1673.6174051520002</v>
      </c>
      <c r="X45" s="1">
        <f t="shared" si="20"/>
        <v>7759.498878432001</v>
      </c>
      <c r="Y45" s="1">
        <f t="shared" si="21"/>
        <v>1912.705605888</v>
      </c>
      <c r="Z45" s="1">
        <f t="shared" si="22"/>
        <v>956.352802944</v>
      </c>
      <c r="AA45" s="1">
        <f t="shared" si="23"/>
        <v>4433.999359104</v>
      </c>
      <c r="AB45" s="1">
        <f t="shared" si="24"/>
        <v>13790.607418452479</v>
      </c>
      <c r="AC45" s="1">
        <f t="shared" si="25"/>
        <v>6895.303709226239</v>
      </c>
      <c r="AD45" s="1">
        <f t="shared" si="26"/>
        <v>31969.13537913984</v>
      </c>
      <c r="AE45" s="1">
        <f t="shared" si="27"/>
        <v>8162.47117312704</v>
      </c>
      <c r="AF45" s="1">
        <f t="shared" si="28"/>
        <v>4081.23558656352</v>
      </c>
      <c r="AG45" s="1">
        <f t="shared" si="29"/>
        <v>18922.09226497632</v>
      </c>
      <c r="AH45"/>
      <c r="AI45"/>
      <c r="AJ45" s="195" t="s">
        <v>482</v>
      </c>
      <c r="AK45" s="191"/>
      <c r="AL45" s="191"/>
      <c r="AM45" s="198"/>
      <c r="AN45"/>
      <c r="AP45" t="s">
        <v>40</v>
      </c>
      <c r="AQ45" s="3" t="s">
        <v>159</v>
      </c>
      <c r="AR45" s="1">
        <v>225120</v>
      </c>
      <c r="AS45" s="1">
        <v>47817.6401472</v>
      </c>
      <c r="AT45" s="1">
        <v>23908.8200736</v>
      </c>
      <c r="AU45" s="1">
        <v>110849.9839776</v>
      </c>
      <c r="AV45" s="1">
        <v>5499.028616928</v>
      </c>
      <c r="AW45" s="1">
        <v>3825.411211776</v>
      </c>
      <c r="AX45" s="1">
        <v>15779.821248576001</v>
      </c>
      <c r="AY45" s="1">
        <f t="shared" si="30"/>
        <v>1006.3222368978239</v>
      </c>
      <c r="AZ45" s="1">
        <f t="shared" si="31"/>
        <v>588.255726800992</v>
      </c>
      <c r="BA45" s="1">
        <f t="shared" si="32"/>
        <v>1389.1272158137563</v>
      </c>
      <c r="BB45" s="1">
        <f t="shared" si="33"/>
        <v>318.943659781824</v>
      </c>
      <c r="BC45" s="1">
        <f t="shared" si="34"/>
        <v>0</v>
      </c>
      <c r="BD45" s="1">
        <f t="shared" si="35"/>
        <v>763.9019595434467</v>
      </c>
      <c r="BE45" s="1">
        <f t="shared" si="64"/>
        <v>714.87372020064</v>
      </c>
      <c r="BF45" s="1">
        <f t="shared" si="37"/>
        <v>459.66380208901154</v>
      </c>
      <c r="BG45" s="1">
        <f t="shared" si="38"/>
        <v>1106.624518870591</v>
      </c>
      <c r="BH45" s="1">
        <f t="shared" si="39"/>
        <v>219.96114467712</v>
      </c>
      <c r="BI45" s="1">
        <f t="shared" si="40"/>
        <v>109.98057233856</v>
      </c>
      <c r="BJ45" s="1">
        <f t="shared" si="41"/>
        <v>392.8506043933363</v>
      </c>
      <c r="BL45" s="2">
        <v>0</v>
      </c>
      <c r="BM45" s="2">
        <v>0</v>
      </c>
      <c r="BO45" s="1">
        <f t="shared" si="42"/>
        <v>1006.3222368978239</v>
      </c>
      <c r="BP45" s="1">
        <f t="shared" si="43"/>
        <v>588.255726800992</v>
      </c>
      <c r="BQ45" s="1">
        <f t="shared" si="44"/>
        <v>1389.1272158137563</v>
      </c>
      <c r="BR45" s="1">
        <f t="shared" si="45"/>
        <v>318.943659781824</v>
      </c>
      <c r="BS45" s="1">
        <f t="shared" si="46"/>
        <v>0</v>
      </c>
      <c r="BT45" s="1">
        <f t="shared" si="47"/>
        <v>763.9019595434467</v>
      </c>
      <c r="BU45" s="1">
        <f t="shared" si="48"/>
        <v>714.87372020064</v>
      </c>
      <c r="BV45" s="1">
        <f t="shared" si="49"/>
        <v>459.66380208901154</v>
      </c>
      <c r="BW45" s="1">
        <f t="shared" si="50"/>
        <v>1106.624518870591</v>
      </c>
      <c r="BX45" s="1">
        <f t="shared" si="51"/>
        <v>219.96114467712</v>
      </c>
      <c r="BY45" s="1">
        <f t="shared" si="52"/>
        <v>109.98057233856</v>
      </c>
      <c r="BZ45" s="1">
        <f t="shared" si="53"/>
        <v>392.8506043933363</v>
      </c>
      <c r="CA45" s="1">
        <f t="shared" si="54"/>
        <v>5499.028616928</v>
      </c>
      <c r="CB45" s="1">
        <f t="shared" si="55"/>
        <v>3825.411211776</v>
      </c>
      <c r="CC45" s="1">
        <f t="shared" si="56"/>
        <v>15779.821248576001</v>
      </c>
      <c r="CD45" s="1">
        <f t="shared" si="1"/>
        <v>47817.6401472</v>
      </c>
      <c r="CE45" s="1">
        <f t="shared" si="2"/>
        <v>23908.8200736</v>
      </c>
      <c r="CF45" s="1">
        <f t="shared" si="3"/>
        <v>110849.9839776</v>
      </c>
      <c r="CG45" t="s">
        <v>40</v>
      </c>
      <c r="CH45" s="3" t="s">
        <v>159</v>
      </c>
      <c r="CI45" s="1">
        <v>225120</v>
      </c>
      <c r="CJ45" s="102">
        <v>60.35354</v>
      </c>
      <c r="CK45" s="1">
        <v>245.4082</v>
      </c>
      <c r="CL45" s="1">
        <f t="shared" si="57"/>
        <v>305.76174</v>
      </c>
      <c r="CM45" s="1">
        <v>35.5216104510451</v>
      </c>
      <c r="CN45" s="1">
        <v>123.251225965119</v>
      </c>
      <c r="CO45" s="1">
        <f t="shared" si="58"/>
        <v>158.7728364161641</v>
      </c>
      <c r="CP45" s="1">
        <f t="shared" si="4"/>
        <v>52.33152688276769</v>
      </c>
      <c r="CQ45" s="1">
        <f t="shared" si="5"/>
        <v>27.70585995462063</v>
      </c>
      <c r="CR45" s="1">
        <f t="shared" si="6"/>
        <v>72.33690427120436</v>
      </c>
      <c r="CS45" s="1">
        <f t="shared" si="7"/>
        <v>33.75510502207649</v>
      </c>
      <c r="CT45" s="1">
        <f t="shared" si="8"/>
        <v>4.794939659768156</v>
      </c>
      <c r="CU45" s="1">
        <f t="shared" si="9"/>
        <v>57.28523937895201</v>
      </c>
    </row>
    <row r="46" spans="1:99" ht="12.75">
      <c r="A46" t="s">
        <v>42</v>
      </c>
      <c r="B46" s="1">
        <v>1184632</v>
      </c>
      <c r="C46" s="121" t="s">
        <v>41</v>
      </c>
      <c r="D46" s="113">
        <v>29</v>
      </c>
      <c r="E46" s="113">
        <v>11</v>
      </c>
      <c r="F46" s="115">
        <v>31</v>
      </c>
      <c r="G46" s="113">
        <v>99</v>
      </c>
      <c r="H46" s="107">
        <v>14.5</v>
      </c>
      <c r="I46" s="1">
        <f t="shared" si="10"/>
        <v>343543.28</v>
      </c>
      <c r="J46" s="1">
        <f t="shared" si="11"/>
        <v>130309.52</v>
      </c>
      <c r="K46" s="1">
        <f t="shared" si="12"/>
        <v>367235.92</v>
      </c>
      <c r="L46" s="1">
        <f t="shared" si="13"/>
        <v>1172785.68</v>
      </c>
      <c r="M46" s="1">
        <f t="shared" si="14"/>
        <v>171771.64</v>
      </c>
      <c r="N46" s="12">
        <f t="shared" si="59"/>
        <v>0.05687999999999998</v>
      </c>
      <c r="O46" s="12">
        <f t="shared" si="60"/>
        <v>0.008760000000000002</v>
      </c>
      <c r="P46" s="12">
        <f t="shared" si="61"/>
        <v>-0.06470999999999998</v>
      </c>
      <c r="Q46" s="12">
        <f t="shared" si="62"/>
        <v>0.37456</v>
      </c>
      <c r="R46" s="12">
        <f t="shared" si="63"/>
        <v>0.019007999999999994</v>
      </c>
      <c r="S46" s="1">
        <f t="shared" si="15"/>
        <v>363432.73004192003</v>
      </c>
      <c r="T46" s="2">
        <f t="shared" si="16"/>
        <v>0.30678956</v>
      </c>
      <c r="U46" s="1">
        <f t="shared" si="17"/>
        <v>41794.7639548208</v>
      </c>
      <c r="V46" s="1">
        <f t="shared" si="18"/>
        <v>25440.291102934403</v>
      </c>
      <c r="W46" s="1">
        <f t="shared" si="19"/>
        <v>12720.145551467202</v>
      </c>
      <c r="X46" s="1">
        <f t="shared" si="20"/>
        <v>58975.22028407521</v>
      </c>
      <c r="Y46" s="1">
        <f t="shared" si="21"/>
        <v>3372.6557347890175</v>
      </c>
      <c r="Z46" s="1">
        <f t="shared" si="22"/>
        <v>1686.3278673945088</v>
      </c>
      <c r="AA46" s="1">
        <f t="shared" si="23"/>
        <v>7818.4292033745405</v>
      </c>
      <c r="AB46" s="1">
        <f t="shared" si="24"/>
        <v>100789.1417692767</v>
      </c>
      <c r="AC46" s="1">
        <f t="shared" si="25"/>
        <v>50394.57088463835</v>
      </c>
      <c r="AD46" s="1">
        <f t="shared" si="26"/>
        <v>233647.55591968686</v>
      </c>
      <c r="AE46" s="1">
        <f t="shared" si="27"/>
        <v>59655.70908465857</v>
      </c>
      <c r="AF46" s="1">
        <f t="shared" si="28"/>
        <v>29827.854542329285</v>
      </c>
      <c r="AG46" s="1">
        <f t="shared" si="29"/>
        <v>138292.7801507994</v>
      </c>
      <c r="AH46"/>
      <c r="AI46"/>
      <c r="AJ46" s="195" t="s">
        <v>483</v>
      </c>
      <c r="AK46" s="191"/>
      <c r="AL46" s="191"/>
      <c r="AM46" s="198"/>
      <c r="AN46"/>
      <c r="AP46" t="s">
        <v>42</v>
      </c>
      <c r="AQ46" s="3" t="s">
        <v>159</v>
      </c>
      <c r="AR46" s="1">
        <v>1184632</v>
      </c>
      <c r="AS46" s="1">
        <v>363432.73004192003</v>
      </c>
      <c r="AT46" s="1">
        <v>181716.36502096002</v>
      </c>
      <c r="AU46" s="1">
        <v>842503.14691536</v>
      </c>
      <c r="AV46" s="1">
        <v>41794.7639548208</v>
      </c>
      <c r="AW46" s="1">
        <v>29074.618403353605</v>
      </c>
      <c r="AX46" s="1">
        <v>119932.80091383362</v>
      </c>
      <c r="AY46" s="1">
        <f t="shared" si="30"/>
        <v>7648.441803732207</v>
      </c>
      <c r="AZ46" s="1">
        <f t="shared" si="31"/>
        <v>4470.973140789699</v>
      </c>
      <c r="BA46" s="1">
        <f t="shared" si="32"/>
        <v>10557.909065871938</v>
      </c>
      <c r="BB46" s="1">
        <f t="shared" si="33"/>
        <v>2424.0963093796067</v>
      </c>
      <c r="BC46" s="1">
        <f t="shared" si="34"/>
        <v>0</v>
      </c>
      <c r="BD46" s="1">
        <f t="shared" si="35"/>
        <v>5805.953070595096</v>
      </c>
      <c r="BE46" s="1">
        <f t="shared" si="64"/>
        <v>5433.319314126705</v>
      </c>
      <c r="BF46" s="1">
        <f t="shared" si="37"/>
        <v>3493.6243189834713</v>
      </c>
      <c r="BG46" s="1">
        <f t="shared" si="38"/>
        <v>8410.778298268138</v>
      </c>
      <c r="BH46" s="1">
        <f t="shared" si="39"/>
        <v>1671.7905581928321</v>
      </c>
      <c r="BI46" s="1">
        <f t="shared" si="40"/>
        <v>835.8952790964161</v>
      </c>
      <c r="BJ46" s="1">
        <f t="shared" si="41"/>
        <v>2985.8179369323984</v>
      </c>
      <c r="BL46" s="2">
        <v>0.96</v>
      </c>
      <c r="BM46" s="2">
        <v>0</v>
      </c>
      <c r="BO46" s="1">
        <f t="shared" si="42"/>
        <v>7648.441803732207</v>
      </c>
      <c r="BP46" s="1">
        <f t="shared" si="43"/>
        <v>4470.973140789699</v>
      </c>
      <c r="BQ46" s="1">
        <f t="shared" si="44"/>
        <v>10557.909065871938</v>
      </c>
      <c r="BR46" s="1">
        <f t="shared" si="45"/>
        <v>562.3903437760687</v>
      </c>
      <c r="BS46" s="1">
        <f t="shared" si="46"/>
        <v>0</v>
      </c>
      <c r="BT46" s="1">
        <f t="shared" si="47"/>
        <v>1346.9811123780619</v>
      </c>
      <c r="BU46" s="1">
        <f t="shared" si="48"/>
        <v>5433.319314126705</v>
      </c>
      <c r="BV46" s="1">
        <f t="shared" si="49"/>
        <v>3493.6243189834713</v>
      </c>
      <c r="BW46" s="1">
        <f t="shared" si="50"/>
        <v>8410.778298268138</v>
      </c>
      <c r="BX46" s="1">
        <f t="shared" si="51"/>
        <v>1671.7905581928321</v>
      </c>
      <c r="BY46" s="1">
        <f t="shared" si="52"/>
        <v>835.8952790964161</v>
      </c>
      <c r="BZ46" s="1">
        <f t="shared" si="53"/>
        <v>2985.8179369323984</v>
      </c>
      <c r="CA46" s="1">
        <f t="shared" si="54"/>
        <v>39933.05798921727</v>
      </c>
      <c r="CB46" s="1">
        <f t="shared" si="55"/>
        <v>29074.618403353605</v>
      </c>
      <c r="CC46" s="1">
        <f t="shared" si="56"/>
        <v>115473.82895561658</v>
      </c>
      <c r="CD46" s="1">
        <f t="shared" si="1"/>
        <v>349476.9132083103</v>
      </c>
      <c r="CE46" s="1">
        <f t="shared" si="2"/>
        <v>174738.45660415516</v>
      </c>
      <c r="CF46" s="1">
        <f t="shared" si="3"/>
        <v>810151.0260738102</v>
      </c>
      <c r="CG46" t="s">
        <v>42</v>
      </c>
      <c r="CH46" s="3" t="s">
        <v>159</v>
      </c>
      <c r="CI46" s="1">
        <v>1184632</v>
      </c>
      <c r="CJ46" s="102">
        <v>632.6108</v>
      </c>
      <c r="CK46" s="1">
        <v>6661.594</v>
      </c>
      <c r="CL46" s="1">
        <f t="shared" si="57"/>
        <v>7294.2048</v>
      </c>
      <c r="CM46" s="1">
        <v>655.2718</v>
      </c>
      <c r="CN46" s="1">
        <v>6603.82621638692</v>
      </c>
      <c r="CO46" s="1">
        <f t="shared" si="58"/>
        <v>7259.098016386921</v>
      </c>
      <c r="CP46" s="1">
        <f t="shared" si="4"/>
        <v>2392.598706201129</v>
      </c>
      <c r="CQ46" s="1">
        <f t="shared" si="5"/>
        <v>1266.7126038595177</v>
      </c>
      <c r="CR46" s="1">
        <f t="shared" si="6"/>
        <v>3307.245056265881</v>
      </c>
      <c r="CS46" s="1">
        <f t="shared" si="7"/>
        <v>427.90966389106393</v>
      </c>
      <c r="CT46" s="1">
        <f t="shared" si="8"/>
        <v>52.06778368980109</v>
      </c>
      <c r="CU46" s="1">
        <f t="shared" si="9"/>
        <v>840.5345800620122</v>
      </c>
    </row>
    <row r="47" spans="1:107" ht="12.75">
      <c r="A47" t="s">
        <v>43</v>
      </c>
      <c r="B47" s="1">
        <v>651222</v>
      </c>
      <c r="C47" s="121" t="s">
        <v>41</v>
      </c>
      <c r="D47" s="113">
        <v>24</v>
      </c>
      <c r="E47" s="113">
        <v>13</v>
      </c>
      <c r="F47" s="113">
        <v>77</v>
      </c>
      <c r="G47" s="107">
        <v>85.7</v>
      </c>
      <c r="H47" s="107">
        <v>14.5</v>
      </c>
      <c r="I47" s="1">
        <f t="shared" si="10"/>
        <v>156293.28</v>
      </c>
      <c r="J47" s="1">
        <f t="shared" si="11"/>
        <v>84658.86</v>
      </c>
      <c r="K47" s="1">
        <f t="shared" si="12"/>
        <v>501440.94</v>
      </c>
      <c r="L47" s="1">
        <f t="shared" si="13"/>
        <v>558097.254</v>
      </c>
      <c r="M47" s="1">
        <f t="shared" si="14"/>
        <v>94427.19</v>
      </c>
      <c r="N47" s="12">
        <f t="shared" si="59"/>
        <v>0.016879999999999985</v>
      </c>
      <c r="O47" s="12">
        <f t="shared" si="60"/>
        <v>0.016760000000000004</v>
      </c>
      <c r="P47" s="12">
        <f t="shared" si="61"/>
        <v>0.07329000000000002</v>
      </c>
      <c r="Q47" s="12">
        <f t="shared" si="62"/>
        <v>0.26815999999999995</v>
      </c>
      <c r="R47" s="12">
        <f t="shared" si="63"/>
        <v>0.019007999999999994</v>
      </c>
      <c r="S47" s="1">
        <f t="shared" si="15"/>
        <v>199730.80330632</v>
      </c>
      <c r="T47" s="2">
        <f t="shared" si="16"/>
        <v>0.30670156000000004</v>
      </c>
      <c r="U47" s="1">
        <f t="shared" si="17"/>
        <v>22969.0423802268</v>
      </c>
      <c r="V47" s="1">
        <f t="shared" si="18"/>
        <v>13981.156231442403</v>
      </c>
      <c r="W47" s="1">
        <f t="shared" si="19"/>
        <v>6990.578115721201</v>
      </c>
      <c r="X47" s="1">
        <f t="shared" si="20"/>
        <v>32410.862172889203</v>
      </c>
      <c r="Y47" s="1">
        <f t="shared" si="21"/>
        <v>4537.88385111959</v>
      </c>
      <c r="Z47" s="1">
        <f t="shared" si="22"/>
        <v>2268.941925559795</v>
      </c>
      <c r="AA47" s="1">
        <f t="shared" si="23"/>
        <v>10519.639836686321</v>
      </c>
      <c r="AB47" s="1">
        <f t="shared" si="24"/>
        <v>56358.15261819417</v>
      </c>
      <c r="AC47" s="1">
        <f t="shared" si="25"/>
        <v>28179.076309097087</v>
      </c>
      <c r="AD47" s="1">
        <f t="shared" si="26"/>
        <v>130648.44470581374</v>
      </c>
      <c r="AE47" s="1">
        <f t="shared" si="27"/>
        <v>33357.61668490203</v>
      </c>
      <c r="AF47" s="1">
        <f t="shared" si="28"/>
        <v>16678.808342451015</v>
      </c>
      <c r="AG47" s="1">
        <f t="shared" si="29"/>
        <v>77329.02049681832</v>
      </c>
      <c r="AH47"/>
      <c r="AI47"/>
      <c r="AJ47" s="195" t="s">
        <v>484</v>
      </c>
      <c r="AK47" s="191"/>
      <c r="AL47" s="191"/>
      <c r="AM47" s="198"/>
      <c r="AN47"/>
      <c r="AP47" t="s">
        <v>43</v>
      </c>
      <c r="AQ47" s="3" t="s">
        <v>159</v>
      </c>
      <c r="AR47" s="1">
        <v>651222</v>
      </c>
      <c r="AS47" s="1">
        <v>199730.80330632</v>
      </c>
      <c r="AT47" s="1">
        <v>99865.40165316</v>
      </c>
      <c r="AU47" s="1">
        <v>463012.31675556</v>
      </c>
      <c r="AV47" s="1">
        <v>22969.0423802268</v>
      </c>
      <c r="AW47" s="1">
        <v>15978.464264505601</v>
      </c>
      <c r="AX47" s="1">
        <v>65911.16509108561</v>
      </c>
      <c r="AY47" s="1">
        <f t="shared" si="30"/>
        <v>4203.334755581504</v>
      </c>
      <c r="AZ47" s="1">
        <f t="shared" si="31"/>
        <v>2457.101364722724</v>
      </c>
      <c r="BA47" s="1">
        <f t="shared" si="32"/>
        <v>5802.283296604709</v>
      </c>
      <c r="BB47" s="1">
        <f t="shared" si="33"/>
        <v>1332.2044580531544</v>
      </c>
      <c r="BC47" s="1">
        <f t="shared" si="34"/>
        <v>0</v>
      </c>
      <c r="BD47" s="1">
        <f t="shared" si="35"/>
        <v>3190.76289748311</v>
      </c>
      <c r="BE47" s="1">
        <f t="shared" si="64"/>
        <v>2985.975509429484</v>
      </c>
      <c r="BF47" s="1">
        <f t="shared" si="37"/>
        <v>1919.9822525631585</v>
      </c>
      <c r="BG47" s="1">
        <f t="shared" si="38"/>
        <v>4622.290088596842</v>
      </c>
      <c r="BH47" s="1">
        <f t="shared" si="39"/>
        <v>918.7616952090721</v>
      </c>
      <c r="BI47" s="1">
        <f t="shared" si="40"/>
        <v>459.38084760453603</v>
      </c>
      <c r="BJ47" s="1">
        <f t="shared" si="41"/>
        <v>1640.9083876434026</v>
      </c>
      <c r="BL47" s="2">
        <v>0.54</v>
      </c>
      <c r="BM47" s="2">
        <v>0</v>
      </c>
      <c r="BO47" s="1">
        <f t="shared" si="42"/>
        <v>4203.334755581504</v>
      </c>
      <c r="BP47" s="1">
        <f t="shared" si="43"/>
        <v>2457.101364722724</v>
      </c>
      <c r="BQ47" s="1">
        <f t="shared" si="44"/>
        <v>5802.283296604709</v>
      </c>
      <c r="BR47" s="1">
        <f t="shared" si="45"/>
        <v>756.6921321741917</v>
      </c>
      <c r="BS47" s="1">
        <f t="shared" si="46"/>
        <v>0</v>
      </c>
      <c r="BT47" s="1">
        <f t="shared" si="47"/>
        <v>1812.3533257704062</v>
      </c>
      <c r="BU47" s="1">
        <f t="shared" si="48"/>
        <v>2985.975509429484</v>
      </c>
      <c r="BV47" s="1">
        <f t="shared" si="49"/>
        <v>1919.9822525631585</v>
      </c>
      <c r="BW47" s="1">
        <f t="shared" si="50"/>
        <v>4622.290088596842</v>
      </c>
      <c r="BX47" s="1">
        <f t="shared" si="51"/>
        <v>918.7616952090721</v>
      </c>
      <c r="BY47" s="1">
        <f t="shared" si="52"/>
        <v>459.38084760453603</v>
      </c>
      <c r="BZ47" s="1">
        <f t="shared" si="53"/>
        <v>1640.9083876434026</v>
      </c>
      <c r="CA47" s="1">
        <f t="shared" si="54"/>
        <v>22393.530054347837</v>
      </c>
      <c r="CB47" s="1">
        <f t="shared" si="55"/>
        <v>15978.464264505601</v>
      </c>
      <c r="CC47" s="1">
        <f t="shared" si="56"/>
        <v>64532.755519372906</v>
      </c>
      <c r="CD47" s="1">
        <f t="shared" si="1"/>
        <v>195416.61795490352</v>
      </c>
      <c r="CE47" s="1">
        <f t="shared" si="2"/>
        <v>97708.30897745176</v>
      </c>
      <c r="CF47" s="1">
        <f t="shared" si="3"/>
        <v>453011.2507136399</v>
      </c>
      <c r="CG47" t="s">
        <v>43</v>
      </c>
      <c r="CH47" s="3" t="s">
        <v>159</v>
      </c>
      <c r="CI47" s="1">
        <v>651222</v>
      </c>
      <c r="CJ47" s="102">
        <v>751.0356</v>
      </c>
      <c r="CK47" s="1">
        <v>3005.31</v>
      </c>
      <c r="CL47" s="1">
        <f t="shared" si="57"/>
        <v>3756.3456</v>
      </c>
      <c r="CM47" s="1">
        <v>825.898406716532</v>
      </c>
      <c r="CN47" s="1">
        <v>3084.83526729912</v>
      </c>
      <c r="CO47" s="1">
        <f t="shared" si="58"/>
        <v>3910.733674015652</v>
      </c>
      <c r="CP47" s="1">
        <f t="shared" si="4"/>
        <v>1288.9778189555589</v>
      </c>
      <c r="CQ47" s="1">
        <f t="shared" si="5"/>
        <v>682.4230261157312</v>
      </c>
      <c r="CR47" s="1">
        <f t="shared" si="6"/>
        <v>1781.730261881531</v>
      </c>
      <c r="CS47" s="1">
        <f t="shared" si="7"/>
        <v>520.0067698952133</v>
      </c>
      <c r="CT47" s="1">
        <f t="shared" si="8"/>
        <v>67.96992396663316</v>
      </c>
      <c r="CU47" s="1">
        <f t="shared" si="9"/>
        <v>949.4268436924182</v>
      </c>
      <c r="CW47" s="225" t="s">
        <v>611</v>
      </c>
      <c r="CX47" s="189"/>
      <c r="CY47" s="189"/>
      <c r="CZ47" s="232"/>
      <c r="DA47" s="189"/>
      <c r="DB47" s="189"/>
      <c r="DC47" s="190"/>
    </row>
    <row r="48" spans="1:107" ht="12.75">
      <c r="A48" t="s">
        <v>44</v>
      </c>
      <c r="B48" s="1">
        <v>623244</v>
      </c>
      <c r="C48" s="121" t="s">
        <v>41</v>
      </c>
      <c r="D48" s="113">
        <v>11.4</v>
      </c>
      <c r="E48" s="116">
        <v>13</v>
      </c>
      <c r="F48" s="113">
        <v>81</v>
      </c>
      <c r="G48" s="106">
        <v>82</v>
      </c>
      <c r="H48" s="107">
        <v>14.5</v>
      </c>
      <c r="I48" s="1">
        <f t="shared" si="10"/>
        <v>71049.816</v>
      </c>
      <c r="J48" s="1">
        <f t="shared" si="11"/>
        <v>81021.72</v>
      </c>
      <c r="K48" s="1">
        <f t="shared" si="12"/>
        <v>504827.64</v>
      </c>
      <c r="L48" s="1">
        <f t="shared" si="13"/>
        <v>511060.08</v>
      </c>
      <c r="M48" s="1">
        <f t="shared" si="14"/>
        <v>90370.38</v>
      </c>
      <c r="N48" s="12">
        <f t="shared" si="59"/>
        <v>-0.08392000000000001</v>
      </c>
      <c r="O48" s="12">
        <f t="shared" si="60"/>
        <v>0.016760000000000004</v>
      </c>
      <c r="P48" s="12">
        <f t="shared" si="61"/>
        <v>0.08529000000000003</v>
      </c>
      <c r="Q48" s="12">
        <f t="shared" si="62"/>
        <v>0.23855999999999994</v>
      </c>
      <c r="R48" s="12">
        <f t="shared" si="63"/>
        <v>0.019007999999999994</v>
      </c>
      <c r="S48" s="1">
        <f t="shared" si="15"/>
        <v>174915.64734864</v>
      </c>
      <c r="T48" s="2">
        <f t="shared" si="16"/>
        <v>0.28065355999999997</v>
      </c>
      <c r="U48" s="1">
        <f t="shared" si="17"/>
        <v>20115.2994450936</v>
      </c>
      <c r="V48" s="1">
        <f t="shared" si="18"/>
        <v>12244.0953144048</v>
      </c>
      <c r="W48" s="1">
        <f t="shared" si="19"/>
        <v>6122.0476572024</v>
      </c>
      <c r="X48" s="1">
        <f t="shared" si="20"/>
        <v>28384.039137938402</v>
      </c>
      <c r="Y48" s="1">
        <f t="shared" si="21"/>
        <v>1959.0552503047675</v>
      </c>
      <c r="Z48" s="1">
        <f t="shared" si="22"/>
        <v>979.5276251523837</v>
      </c>
      <c r="AA48" s="1">
        <f t="shared" si="23"/>
        <v>4541.446262070143</v>
      </c>
      <c r="AB48" s="1">
        <f t="shared" si="24"/>
        <v>48629.62847831526</v>
      </c>
      <c r="AC48" s="1">
        <f t="shared" si="25"/>
        <v>24314.81423915763</v>
      </c>
      <c r="AD48" s="1">
        <f t="shared" si="26"/>
        <v>112732.32056336718</v>
      </c>
      <c r="AE48" s="1">
        <f t="shared" si="27"/>
        <v>28783.209366325984</v>
      </c>
      <c r="AF48" s="1">
        <f t="shared" si="28"/>
        <v>14391.604683162992</v>
      </c>
      <c r="AG48" s="1">
        <f t="shared" si="29"/>
        <v>66724.7126219375</v>
      </c>
      <c r="AH48"/>
      <c r="AI48"/>
      <c r="AJ48" s="209" t="s">
        <v>485</v>
      </c>
      <c r="AK48" s="205"/>
      <c r="AL48" s="205"/>
      <c r="AM48" s="206"/>
      <c r="AN48"/>
      <c r="AP48" t="s">
        <v>44</v>
      </c>
      <c r="AQ48" s="3" t="s">
        <v>159</v>
      </c>
      <c r="AR48" s="1">
        <v>623244</v>
      </c>
      <c r="AS48" s="1">
        <v>174915.64734864</v>
      </c>
      <c r="AT48" s="1">
        <v>87457.82367432</v>
      </c>
      <c r="AU48" s="1">
        <v>405486.27339911996</v>
      </c>
      <c r="AV48" s="1">
        <v>20115.2994450936</v>
      </c>
      <c r="AW48" s="1">
        <v>13993.2517878912</v>
      </c>
      <c r="AX48" s="1">
        <v>57722.1636250512</v>
      </c>
      <c r="AY48" s="1">
        <f t="shared" si="30"/>
        <v>3681.0997984521287</v>
      </c>
      <c r="AZ48" s="1">
        <f t="shared" si="31"/>
        <v>2151.823698183176</v>
      </c>
      <c r="BA48" s="1">
        <f t="shared" si="32"/>
        <v>5081.390161783319</v>
      </c>
      <c r="BB48" s="1">
        <f t="shared" si="33"/>
        <v>1166.6873678154288</v>
      </c>
      <c r="BC48" s="1">
        <f t="shared" si="34"/>
        <v>0</v>
      </c>
      <c r="BD48" s="1">
        <f t="shared" si="35"/>
        <v>2794.3329146547335</v>
      </c>
      <c r="BE48" s="1">
        <f t="shared" si="64"/>
        <v>2614.988927862168</v>
      </c>
      <c r="BF48" s="1">
        <f t="shared" si="37"/>
        <v>1681.437880615374</v>
      </c>
      <c r="BG48" s="1">
        <f t="shared" si="38"/>
        <v>4048.0028603306364</v>
      </c>
      <c r="BH48" s="1">
        <f t="shared" si="39"/>
        <v>804.6119778037439</v>
      </c>
      <c r="BI48" s="1">
        <f t="shared" si="40"/>
        <v>402.30598890187196</v>
      </c>
      <c r="BJ48" s="1">
        <f t="shared" si="41"/>
        <v>1437.0369923574867</v>
      </c>
      <c r="BL48" s="2">
        <v>0.9</v>
      </c>
      <c r="BM48" s="2">
        <v>0</v>
      </c>
      <c r="BO48" s="1">
        <f t="shared" si="42"/>
        <v>3681.0997984521287</v>
      </c>
      <c r="BP48" s="1">
        <f t="shared" si="43"/>
        <v>2151.823698183176</v>
      </c>
      <c r="BQ48" s="1">
        <f t="shared" si="44"/>
        <v>5081.390161783319</v>
      </c>
      <c r="BR48" s="1">
        <f t="shared" si="45"/>
        <v>326.6724629883199</v>
      </c>
      <c r="BS48" s="1">
        <f t="shared" si="46"/>
        <v>0</v>
      </c>
      <c r="BT48" s="1">
        <f t="shared" si="47"/>
        <v>782.4132161033253</v>
      </c>
      <c r="BU48" s="1">
        <f t="shared" si="48"/>
        <v>2614.988927862168</v>
      </c>
      <c r="BV48" s="1">
        <f t="shared" si="49"/>
        <v>1681.437880615374</v>
      </c>
      <c r="BW48" s="1">
        <f t="shared" si="50"/>
        <v>4048.0028603306364</v>
      </c>
      <c r="BX48" s="1">
        <f t="shared" si="51"/>
        <v>804.6119778037439</v>
      </c>
      <c r="BY48" s="1">
        <f t="shared" si="52"/>
        <v>402.30598890187196</v>
      </c>
      <c r="BZ48" s="1">
        <f t="shared" si="53"/>
        <v>1437.0369923574867</v>
      </c>
      <c r="CA48" s="1">
        <f t="shared" si="54"/>
        <v>19275.28454026649</v>
      </c>
      <c r="CB48" s="1">
        <f t="shared" si="55"/>
        <v>13993.2517878912</v>
      </c>
      <c r="CC48" s="1">
        <f t="shared" si="56"/>
        <v>55710.243926499796</v>
      </c>
      <c r="CD48" s="1">
        <f t="shared" si="1"/>
        <v>168618.68404408896</v>
      </c>
      <c r="CE48" s="1">
        <f t="shared" si="2"/>
        <v>84309.34202204448</v>
      </c>
      <c r="CF48" s="1">
        <f t="shared" si="3"/>
        <v>390888.76755675167</v>
      </c>
      <c r="CG48" t="s">
        <v>44</v>
      </c>
      <c r="CH48" s="3" t="s">
        <v>159</v>
      </c>
      <c r="CI48" s="1">
        <v>623244</v>
      </c>
      <c r="CJ48" s="102">
        <v>771.9351</v>
      </c>
      <c r="CK48" s="1">
        <v>1069.539</v>
      </c>
      <c r="CL48" s="1">
        <f t="shared" si="57"/>
        <v>1841.4741</v>
      </c>
      <c r="CM48" s="1">
        <v>867.859388161765</v>
      </c>
      <c r="CN48" s="1">
        <v>1132.73423665721</v>
      </c>
      <c r="CO48" s="1">
        <f t="shared" si="58"/>
        <v>2000.593624818975</v>
      </c>
      <c r="CP48" s="1">
        <f t="shared" si="4"/>
        <v>659.3956587403342</v>
      </c>
      <c r="CQ48" s="1">
        <f t="shared" si="5"/>
        <v>349.1035875309111</v>
      </c>
      <c r="CR48" s="1">
        <f t="shared" si="6"/>
        <v>911.4704554675251</v>
      </c>
      <c r="CS48" s="1">
        <f t="shared" si="7"/>
        <v>140.6156571730111</v>
      </c>
      <c r="CT48" s="1">
        <f t="shared" si="8"/>
        <v>17.293039543298736</v>
      </c>
      <c r="CU48" s="1">
        <f t="shared" si="9"/>
        <v>273.0362300515954</v>
      </c>
      <c r="CW48" s="195" t="s">
        <v>612</v>
      </c>
      <c r="CX48" s="191"/>
      <c r="CY48" s="191"/>
      <c r="CZ48" s="233"/>
      <c r="DA48" s="191"/>
      <c r="DB48" s="191"/>
      <c r="DC48" s="192"/>
    </row>
    <row r="49" spans="1:107" ht="12.75">
      <c r="A49" t="s">
        <v>45</v>
      </c>
      <c r="B49" s="1">
        <v>2969425</v>
      </c>
      <c r="C49" s="121" t="s">
        <v>41</v>
      </c>
      <c r="D49" s="115">
        <v>16</v>
      </c>
      <c r="E49" s="115">
        <v>17</v>
      </c>
      <c r="F49" s="115">
        <v>96.3</v>
      </c>
      <c r="G49" s="113">
        <v>86</v>
      </c>
      <c r="H49" s="115">
        <v>30.2</v>
      </c>
      <c r="I49" s="1">
        <f t="shared" si="10"/>
        <v>475108</v>
      </c>
      <c r="J49" s="1">
        <f t="shared" si="11"/>
        <v>504802.25</v>
      </c>
      <c r="K49" s="1">
        <f t="shared" si="12"/>
        <v>2859556.275</v>
      </c>
      <c r="L49" s="1">
        <f t="shared" si="13"/>
        <v>2553705.5</v>
      </c>
      <c r="M49" s="1">
        <f t="shared" si="14"/>
        <v>896766.35</v>
      </c>
      <c r="N49" s="12">
        <f t="shared" si="59"/>
        <v>-0.04712000000000001</v>
      </c>
      <c r="O49" s="12">
        <f t="shared" si="60"/>
        <v>0.032760000000000004</v>
      </c>
      <c r="P49" s="12">
        <f t="shared" si="61"/>
        <v>0.13119</v>
      </c>
      <c r="Q49" s="12">
        <f t="shared" si="62"/>
        <v>0.27055999999999997</v>
      </c>
      <c r="R49" s="12">
        <f t="shared" si="63"/>
        <v>0.17443799999999998</v>
      </c>
      <c r="S49" s="1">
        <f t="shared" si="15"/>
        <v>1020300.8439579998</v>
      </c>
      <c r="T49" s="2">
        <f t="shared" si="16"/>
        <v>0.34360215999999993</v>
      </c>
      <c r="U49" s="1">
        <f t="shared" si="17"/>
        <v>117334.59705516999</v>
      </c>
      <c r="V49" s="1">
        <f t="shared" si="18"/>
        <v>71421.05907706</v>
      </c>
      <c r="W49" s="1">
        <f t="shared" si="19"/>
        <v>35710.52953853</v>
      </c>
      <c r="X49" s="1">
        <f t="shared" si="20"/>
        <v>165567.00058772997</v>
      </c>
      <c r="Y49" s="1">
        <f t="shared" si="21"/>
        <v>13059.850802662397</v>
      </c>
      <c r="Z49" s="1">
        <f t="shared" si="22"/>
        <v>6529.925401331198</v>
      </c>
      <c r="AA49" s="1">
        <f t="shared" si="23"/>
        <v>30275.108678899196</v>
      </c>
      <c r="AB49" s="1">
        <f t="shared" si="24"/>
        <v>284250.1014419726</v>
      </c>
      <c r="AC49" s="1">
        <f t="shared" si="25"/>
        <v>142125.0507209863</v>
      </c>
      <c r="AD49" s="1">
        <f t="shared" si="26"/>
        <v>658943.4169791181</v>
      </c>
      <c r="AE49" s="1">
        <f t="shared" si="27"/>
        <v>168243.73202546712</v>
      </c>
      <c r="AF49" s="1">
        <f t="shared" si="28"/>
        <v>84121.86601273356</v>
      </c>
      <c r="AG49" s="1">
        <f t="shared" si="29"/>
        <v>390019.5606044919</v>
      </c>
      <c r="AH49"/>
      <c r="AI49"/>
      <c r="AJ49" s="211" t="s">
        <v>486</v>
      </c>
      <c r="AK49" s="219"/>
      <c r="AL49" s="219"/>
      <c r="AM49" s="220"/>
      <c r="AN49"/>
      <c r="AP49" t="s">
        <v>160</v>
      </c>
      <c r="AQ49" s="3" t="s">
        <v>159</v>
      </c>
      <c r="AR49" s="1">
        <v>2969425</v>
      </c>
      <c r="AS49" s="1">
        <v>1020300.8439579998</v>
      </c>
      <c r="AT49" s="1">
        <v>510150.4219789999</v>
      </c>
      <c r="AU49" s="1">
        <v>2365242.8655389994</v>
      </c>
      <c r="AV49" s="1">
        <v>117334.59705516999</v>
      </c>
      <c r="AW49" s="1">
        <v>81624.06751663999</v>
      </c>
      <c r="AX49" s="1">
        <v>336699.27850613993</v>
      </c>
      <c r="AY49" s="1">
        <f t="shared" si="30"/>
        <v>21472.231261096105</v>
      </c>
      <c r="AZ49" s="1">
        <f t="shared" si="31"/>
        <v>12551.807505986339</v>
      </c>
      <c r="BA49" s="1">
        <f t="shared" si="32"/>
        <v>29640.268032817065</v>
      </c>
      <c r="BB49" s="1">
        <f t="shared" si="33"/>
        <v>6805.40662919986</v>
      </c>
      <c r="BC49" s="1">
        <f t="shared" si="34"/>
        <v>0</v>
      </c>
      <c r="BD49" s="1">
        <f t="shared" si="35"/>
        <v>16299.629417596583</v>
      </c>
      <c r="BE49" s="1">
        <f t="shared" si="64"/>
        <v>15253.4976171721</v>
      </c>
      <c r="BF49" s="1">
        <f t="shared" si="37"/>
        <v>9807.99896784166</v>
      </c>
      <c r="BG49" s="1">
        <f t="shared" si="38"/>
        <v>23612.41431138241</v>
      </c>
      <c r="BH49" s="1">
        <f t="shared" si="39"/>
        <v>4693.383882206799</v>
      </c>
      <c r="BI49" s="1">
        <f t="shared" si="40"/>
        <v>2346.6919411033996</v>
      </c>
      <c r="BJ49" s="1">
        <f t="shared" si="41"/>
        <v>8382.383613621343</v>
      </c>
      <c r="BL49" s="2">
        <v>0.85</v>
      </c>
      <c r="BM49" s="2">
        <v>0</v>
      </c>
      <c r="BO49" s="1">
        <f t="shared" si="42"/>
        <v>21472.231261096105</v>
      </c>
      <c r="BP49" s="1">
        <f t="shared" si="43"/>
        <v>12551.807505986339</v>
      </c>
      <c r="BQ49" s="1">
        <f t="shared" si="44"/>
        <v>29640.268032817065</v>
      </c>
      <c r="BR49" s="1">
        <f t="shared" si="45"/>
        <v>2177.730121343955</v>
      </c>
      <c r="BS49" s="1">
        <f t="shared" si="46"/>
        <v>0</v>
      </c>
      <c r="BT49" s="1">
        <f t="shared" si="47"/>
        <v>5215.8814136309065</v>
      </c>
      <c r="BU49" s="1">
        <f t="shared" si="48"/>
        <v>15253.4976171721</v>
      </c>
      <c r="BV49" s="1">
        <f t="shared" si="49"/>
        <v>9807.99896784166</v>
      </c>
      <c r="BW49" s="1">
        <f t="shared" si="50"/>
        <v>23612.41431138241</v>
      </c>
      <c r="BX49" s="1">
        <f t="shared" si="51"/>
        <v>4693.383882206799</v>
      </c>
      <c r="BY49" s="1">
        <f t="shared" si="52"/>
        <v>2346.6919411033996</v>
      </c>
      <c r="BZ49" s="1">
        <f t="shared" si="53"/>
        <v>8382.383613621343</v>
      </c>
      <c r="CA49" s="1">
        <f t="shared" si="54"/>
        <v>112706.92054731408</v>
      </c>
      <c r="CB49" s="1">
        <f t="shared" si="55"/>
        <v>81624.06751663999</v>
      </c>
      <c r="CC49" s="1">
        <f t="shared" si="56"/>
        <v>325615.5305021743</v>
      </c>
      <c r="CD49" s="1">
        <f t="shared" si="1"/>
        <v>985610.6152634278</v>
      </c>
      <c r="CE49" s="1">
        <f t="shared" si="2"/>
        <v>492805.3076317139</v>
      </c>
      <c r="CF49" s="1">
        <f t="shared" si="3"/>
        <v>2284824.6081106733</v>
      </c>
      <c r="CG49" t="s">
        <v>160</v>
      </c>
      <c r="CH49" s="3" t="s">
        <v>159</v>
      </c>
      <c r="CI49" s="1">
        <v>2969425</v>
      </c>
      <c r="CJ49" s="102">
        <v>3812.593</v>
      </c>
      <c r="CK49" s="1">
        <v>7987.74</v>
      </c>
      <c r="CL49" s="1">
        <f t="shared" si="57"/>
        <v>11800.332999999999</v>
      </c>
      <c r="CM49" s="1">
        <v>3913.50923514316</v>
      </c>
      <c r="CN49" s="1">
        <v>7089.14399854141</v>
      </c>
      <c r="CO49" s="1">
        <f t="shared" si="58"/>
        <v>11002.65323368457</v>
      </c>
      <c r="CP49" s="1">
        <f t="shared" si="4"/>
        <v>3626.4745058224344</v>
      </c>
      <c r="CQ49" s="1">
        <f t="shared" si="5"/>
        <v>1919.9629892779574</v>
      </c>
      <c r="CR49" s="1">
        <f t="shared" si="6"/>
        <v>5012.80881326669</v>
      </c>
      <c r="CS49" s="1">
        <f t="shared" si="7"/>
        <v>875.0344911039438</v>
      </c>
      <c r="CT49" s="1">
        <f t="shared" si="8"/>
        <v>108.55900865200526</v>
      </c>
      <c r="CU49" s="1">
        <f t="shared" si="9"/>
        <v>1683.313101265061</v>
      </c>
      <c r="CW49" s="195" t="s">
        <v>692</v>
      </c>
      <c r="CX49" s="191"/>
      <c r="CY49" s="191"/>
      <c r="CZ49" s="233"/>
      <c r="DA49" s="191"/>
      <c r="DB49" s="191"/>
      <c r="DC49" s="192"/>
    </row>
    <row r="50" spans="1:107" ht="12.75">
      <c r="A50" t="s">
        <v>46</v>
      </c>
      <c r="B50" s="1">
        <v>11848026</v>
      </c>
      <c r="C50" s="121" t="s">
        <v>41</v>
      </c>
      <c r="D50" s="113">
        <v>24</v>
      </c>
      <c r="E50" s="29">
        <v>4.5</v>
      </c>
      <c r="F50" s="29">
        <v>54.3</v>
      </c>
      <c r="G50" s="106">
        <v>95.3</v>
      </c>
      <c r="H50" s="116">
        <v>21.9</v>
      </c>
      <c r="I50" s="1">
        <f t="shared" si="10"/>
        <v>2843526.24</v>
      </c>
      <c r="J50" s="1">
        <f t="shared" si="11"/>
        <v>533161.17</v>
      </c>
      <c r="K50" s="1">
        <f t="shared" si="12"/>
        <v>6433478.118</v>
      </c>
      <c r="L50" s="1">
        <f t="shared" si="13"/>
        <v>11291168.777999999</v>
      </c>
      <c r="M50" s="1">
        <f t="shared" si="14"/>
        <v>2594717.6939999997</v>
      </c>
      <c r="N50" s="12">
        <f t="shared" si="59"/>
        <v>0.016879999999999985</v>
      </c>
      <c r="O50" s="12">
        <f t="shared" si="60"/>
        <v>-0.017240000000000002</v>
      </c>
      <c r="P50" s="12">
        <f t="shared" si="61"/>
        <v>0.005189999999999994</v>
      </c>
      <c r="Q50" s="12">
        <f t="shared" si="62"/>
        <v>0.34495999999999993</v>
      </c>
      <c r="R50" s="12">
        <f t="shared" si="63"/>
        <v>0.09226799999999998</v>
      </c>
      <c r="S50" s="1">
        <f t="shared" si="15"/>
        <v>3758818.9490517597</v>
      </c>
      <c r="T50" s="2">
        <f t="shared" si="16"/>
        <v>0.31725275999999997</v>
      </c>
      <c r="U50" s="1">
        <f t="shared" si="17"/>
        <v>432264.17914095236</v>
      </c>
      <c r="V50" s="1">
        <f t="shared" si="18"/>
        <v>263117.3264336232</v>
      </c>
      <c r="W50" s="1">
        <f t="shared" si="19"/>
        <v>131558.6632168116</v>
      </c>
      <c r="X50" s="1">
        <f t="shared" si="20"/>
        <v>609953.8021870357</v>
      </c>
      <c r="Y50" s="1">
        <f t="shared" si="21"/>
        <v>80589.07826766973</v>
      </c>
      <c r="Z50" s="1">
        <f t="shared" si="22"/>
        <v>40294.53913383486</v>
      </c>
      <c r="AA50" s="1">
        <f t="shared" si="23"/>
        <v>186820.13598414348</v>
      </c>
      <c r="AB50" s="1">
        <f t="shared" si="24"/>
        <v>1058893.578376696</v>
      </c>
      <c r="AC50" s="1">
        <f t="shared" si="25"/>
        <v>529446.789188348</v>
      </c>
      <c r="AD50" s="1">
        <f t="shared" si="26"/>
        <v>2454707.840782341</v>
      </c>
      <c r="AE50" s="1">
        <f t="shared" si="27"/>
        <v>626744.5694483425</v>
      </c>
      <c r="AF50" s="1">
        <f t="shared" si="28"/>
        <v>313372.2847241713</v>
      </c>
      <c r="AG50" s="1">
        <f t="shared" si="29"/>
        <v>1452907.8655393398</v>
      </c>
      <c r="AH50"/>
      <c r="AI50"/>
      <c r="AJ50" s="211" t="s">
        <v>487</v>
      </c>
      <c r="AK50" s="219"/>
      <c r="AL50" s="219"/>
      <c r="AM50" s="220"/>
      <c r="AN50"/>
      <c r="AP50" t="s">
        <v>161</v>
      </c>
      <c r="AQ50" s="3" t="s">
        <v>159</v>
      </c>
      <c r="AR50" s="1">
        <v>11848026</v>
      </c>
      <c r="AS50" s="1">
        <v>3758818.9490517597</v>
      </c>
      <c r="AT50" s="1">
        <v>1879409.4745258798</v>
      </c>
      <c r="AU50" s="1">
        <v>8713625.74552908</v>
      </c>
      <c r="AV50" s="1">
        <v>432264.17914095236</v>
      </c>
      <c r="AW50" s="1">
        <v>300705.51592414075</v>
      </c>
      <c r="AX50" s="1">
        <v>1240410.2531870808</v>
      </c>
      <c r="AY50" s="1">
        <f t="shared" si="30"/>
        <v>79104.34478279427</v>
      </c>
      <c r="AZ50" s="1">
        <f t="shared" si="31"/>
        <v>46241.235786230216</v>
      </c>
      <c r="BA50" s="1">
        <f t="shared" si="32"/>
        <v>109195.63753816922</v>
      </c>
      <c r="BB50" s="1">
        <f t="shared" si="33"/>
        <v>25071.32239017524</v>
      </c>
      <c r="BC50" s="1">
        <f t="shared" si="34"/>
        <v>0</v>
      </c>
      <c r="BD50" s="1">
        <f t="shared" si="35"/>
        <v>60048.32425670871</v>
      </c>
      <c r="BE50" s="1">
        <f t="shared" si="64"/>
        <v>56194.343288323806</v>
      </c>
      <c r="BF50" s="1">
        <f t="shared" si="37"/>
        <v>36132.96273439221</v>
      </c>
      <c r="BG50" s="1">
        <f t="shared" si="38"/>
        <v>86988.84341032525</v>
      </c>
      <c r="BH50" s="1">
        <f t="shared" si="39"/>
        <v>17290.567165638095</v>
      </c>
      <c r="BI50" s="1">
        <f t="shared" si="40"/>
        <v>8645.283582819047</v>
      </c>
      <c r="BJ50" s="1">
        <f t="shared" si="41"/>
        <v>30880.95295782964</v>
      </c>
      <c r="BL50" s="2">
        <v>0.58</v>
      </c>
      <c r="BM50" s="2">
        <v>0</v>
      </c>
      <c r="BO50" s="1">
        <f t="shared" si="42"/>
        <v>79104.34478279427</v>
      </c>
      <c r="BP50" s="1">
        <f t="shared" si="43"/>
        <v>46241.235786230216</v>
      </c>
      <c r="BQ50" s="1">
        <f t="shared" si="44"/>
        <v>109195.63753816922</v>
      </c>
      <c r="BR50" s="1">
        <f t="shared" si="45"/>
        <v>13438.228801133928</v>
      </c>
      <c r="BS50" s="1">
        <f t="shared" si="46"/>
        <v>0</v>
      </c>
      <c r="BT50" s="1">
        <f t="shared" si="47"/>
        <v>32185.901801595865</v>
      </c>
      <c r="BU50" s="1">
        <f t="shared" si="48"/>
        <v>56194.343288323806</v>
      </c>
      <c r="BV50" s="1">
        <f t="shared" si="49"/>
        <v>36132.96273439221</v>
      </c>
      <c r="BW50" s="1">
        <f t="shared" si="50"/>
        <v>86988.84341032525</v>
      </c>
      <c r="BX50" s="1">
        <f t="shared" si="51"/>
        <v>17290.567165638095</v>
      </c>
      <c r="BY50" s="1">
        <f t="shared" si="52"/>
        <v>8645.283582819047</v>
      </c>
      <c r="BZ50" s="1">
        <f t="shared" si="53"/>
        <v>30880.95295782964</v>
      </c>
      <c r="CA50" s="1">
        <f t="shared" si="54"/>
        <v>420631.08555191103</v>
      </c>
      <c r="CB50" s="1">
        <f t="shared" si="55"/>
        <v>300705.51592414075</v>
      </c>
      <c r="CC50" s="1">
        <f t="shared" si="56"/>
        <v>1212547.830731968</v>
      </c>
      <c r="CD50" s="1">
        <f aca="true" t="shared" si="65" ref="CD50:CD81">AS50-(AS50*BM50*0.07)-(AS50*BL50*0.04)</f>
        <v>3671614.3494337588</v>
      </c>
      <c r="CE50" s="1">
        <f aca="true" t="shared" si="66" ref="CE50:CE81">AT50-(AT50*BM50*0.07)-(AT50*BL50*0.04)</f>
        <v>1835807.1747168794</v>
      </c>
      <c r="CF50" s="1">
        <f aca="true" t="shared" si="67" ref="CF50:CF81">AU50-(AU50*BM50*0.07)-(AU50*BL50*0.04)</f>
        <v>8511469.628232805</v>
      </c>
      <c r="CG50" t="s">
        <v>161</v>
      </c>
      <c r="CH50" s="3" t="s">
        <v>159</v>
      </c>
      <c r="CI50" s="1">
        <v>11848026</v>
      </c>
      <c r="CJ50" s="102">
        <v>20434.79</v>
      </c>
      <c r="CK50" s="1">
        <v>66571.85</v>
      </c>
      <c r="CL50" s="1">
        <f t="shared" si="57"/>
        <v>87006.64000000001</v>
      </c>
      <c r="CM50" s="1">
        <v>21142.8476293321</v>
      </c>
      <c r="CN50" s="1">
        <v>65754.5085260477</v>
      </c>
      <c r="CO50" s="1">
        <f t="shared" si="58"/>
        <v>86897.3561553798</v>
      </c>
      <c r="CP50" s="1">
        <f aca="true" t="shared" si="68" ref="CP50:CP81">((0.3296-(0.3296*BM50*0.58))/(1-(0.3296*BM50*0.58)))*CO50</f>
        <v>28641.368588813184</v>
      </c>
      <c r="CQ50" s="1">
        <f aca="true" t="shared" si="69" ref="CQ50:CQ81">((0.1745-(0.1745*BM50*0.58))/(1-(0.1745*BM50*0.58)))*CO50</f>
        <v>15163.588649113775</v>
      </c>
      <c r="CR50" s="1">
        <f aca="true" t="shared" si="70" ref="CR50:CR81">((0.4556-(0.4556*BM50*0.58))/(1-(0.4556*BM50*0.58)))*CO50</f>
        <v>39590.43546439104</v>
      </c>
      <c r="CS50" s="1">
        <f aca="true" t="shared" si="71" ref="CS50:CS81">((0.2126-(0.2126*BL50*0.8))/(1-(0.2126*BL50*0.8)))*CO50</f>
        <v>10985.995467691802</v>
      </c>
      <c r="CT50" s="1">
        <f aca="true" t="shared" si="72" ref="CT50:CT81">((0.0302-(0.0302*BL50*0.8))/(1-(0.0302*BL50*0.8)))*CO50</f>
        <v>1426.6157649494476</v>
      </c>
      <c r="CU50" s="1">
        <f aca="true" t="shared" si="73" ref="CU50:CU81">((0.3608-(0.3608*BL50*0.8))/(1-(0.3608*BL50*0.8)))*CO50</f>
        <v>20184.003712350583</v>
      </c>
      <c r="CW50" s="195" t="s">
        <v>693</v>
      </c>
      <c r="CX50" s="191"/>
      <c r="CY50" s="191"/>
      <c r="CZ50" s="233"/>
      <c r="DA50" s="191"/>
      <c r="DB50" s="191"/>
      <c r="DC50" s="192"/>
    </row>
    <row r="51" spans="1:107" ht="12.75">
      <c r="A51" t="s">
        <v>47</v>
      </c>
      <c r="B51" s="1">
        <v>861496</v>
      </c>
      <c r="C51" s="121" t="s">
        <v>41</v>
      </c>
      <c r="D51" s="117">
        <v>33.4</v>
      </c>
      <c r="E51" s="29">
        <v>2.3</v>
      </c>
      <c r="F51" s="29">
        <v>35</v>
      </c>
      <c r="G51" s="116">
        <v>66</v>
      </c>
      <c r="H51" s="115">
        <v>14.5</v>
      </c>
      <c r="I51" s="1">
        <f t="shared" si="10"/>
        <v>287739.664</v>
      </c>
      <c r="J51" s="1">
        <f t="shared" si="11"/>
        <v>19814.408</v>
      </c>
      <c r="K51" s="1">
        <f t="shared" si="12"/>
        <v>301523.6</v>
      </c>
      <c r="L51" s="1">
        <f t="shared" si="13"/>
        <v>568587.36</v>
      </c>
      <c r="M51" s="1">
        <f t="shared" si="14"/>
        <v>124916.92</v>
      </c>
      <c r="N51" s="12">
        <f t="shared" si="59"/>
        <v>0.09207999999999997</v>
      </c>
      <c r="O51" s="12">
        <f t="shared" si="60"/>
        <v>-0.026039999999999997</v>
      </c>
      <c r="P51" s="12">
        <f t="shared" si="61"/>
        <v>-0.052709999999999986</v>
      </c>
      <c r="Q51" s="12">
        <f t="shared" si="62"/>
        <v>0.11055999999999999</v>
      </c>
      <c r="R51" s="12">
        <f t="shared" si="63"/>
        <v>0.019007999999999994</v>
      </c>
      <c r="S51" s="1">
        <f t="shared" si="15"/>
        <v>216612.45218975996</v>
      </c>
      <c r="T51" s="2">
        <f t="shared" si="16"/>
        <v>0.25143755999999995</v>
      </c>
      <c r="U51" s="1">
        <f t="shared" si="17"/>
        <v>24910.432001822395</v>
      </c>
      <c r="V51" s="1">
        <f t="shared" si="18"/>
        <v>15162.871653283199</v>
      </c>
      <c r="W51" s="1">
        <f t="shared" si="19"/>
        <v>7581.435826641599</v>
      </c>
      <c r="X51" s="1">
        <f t="shared" si="20"/>
        <v>35150.293378065595</v>
      </c>
      <c r="Y51" s="1">
        <f t="shared" si="21"/>
        <v>1802.2156022188028</v>
      </c>
      <c r="Z51" s="1">
        <f t="shared" si="22"/>
        <v>901.1078011094014</v>
      </c>
      <c r="AA51" s="1">
        <f t="shared" si="23"/>
        <v>4177.8634415072265</v>
      </c>
      <c r="AB51" s="1">
        <f t="shared" si="24"/>
        <v>59997.17837555031</v>
      </c>
      <c r="AC51" s="1">
        <f t="shared" si="25"/>
        <v>29998.589187775156</v>
      </c>
      <c r="AD51" s="1">
        <f t="shared" si="26"/>
        <v>139084.3680524121</v>
      </c>
      <c r="AE51" s="1">
        <f t="shared" si="27"/>
        <v>35511.50606347586</v>
      </c>
      <c r="AF51" s="1">
        <f t="shared" si="28"/>
        <v>17755.75303173793</v>
      </c>
      <c r="AG51" s="1">
        <f t="shared" si="29"/>
        <v>82322.12769260313</v>
      </c>
      <c r="AH51"/>
      <c r="AI51"/>
      <c r="AJ51" s="211" t="s">
        <v>488</v>
      </c>
      <c r="AK51" s="219"/>
      <c r="AL51" s="219"/>
      <c r="AM51" s="220"/>
      <c r="AN51"/>
      <c r="AP51" t="s">
        <v>47</v>
      </c>
      <c r="AQ51" s="3" t="s">
        <v>159</v>
      </c>
      <c r="AR51" s="1">
        <v>861496</v>
      </c>
      <c r="AS51" s="1">
        <v>216612.45218975996</v>
      </c>
      <c r="AT51" s="1">
        <v>108306.22609487998</v>
      </c>
      <c r="AU51" s="1">
        <v>502147.0482580799</v>
      </c>
      <c r="AV51" s="1">
        <v>24910.432001822395</v>
      </c>
      <c r="AW51" s="1">
        <v>17328.996175180797</v>
      </c>
      <c r="AX51" s="1">
        <v>71482.10922262078</v>
      </c>
      <c r="AY51" s="1">
        <f t="shared" si="30"/>
        <v>4558.609056333498</v>
      </c>
      <c r="AZ51" s="1">
        <f t="shared" si="31"/>
        <v>2664.7805099703096</v>
      </c>
      <c r="BA51" s="1">
        <f t="shared" si="32"/>
        <v>6292.703941362762</v>
      </c>
      <c r="BB51" s="1">
        <f t="shared" si="33"/>
        <v>1444.805056105699</v>
      </c>
      <c r="BC51" s="1">
        <f t="shared" si="34"/>
        <v>0</v>
      </c>
      <c r="BD51" s="1">
        <f t="shared" si="35"/>
        <v>3460.452589878759</v>
      </c>
      <c r="BE51" s="1">
        <f t="shared" si="64"/>
        <v>3238.3561602369114</v>
      </c>
      <c r="BF51" s="1">
        <f t="shared" si="37"/>
        <v>2082.263011032334</v>
      </c>
      <c r="BG51" s="1">
        <f t="shared" si="38"/>
        <v>5012.975336046739</v>
      </c>
      <c r="BH51" s="1">
        <f t="shared" si="39"/>
        <v>996.4172800728958</v>
      </c>
      <c r="BI51" s="1">
        <f t="shared" si="40"/>
        <v>498.2086400364479</v>
      </c>
      <c r="BJ51" s="1">
        <f t="shared" si="41"/>
        <v>1779.6012622101919</v>
      </c>
      <c r="BL51" s="2">
        <v>0.99</v>
      </c>
      <c r="BM51" s="2">
        <v>0</v>
      </c>
      <c r="BO51" s="1">
        <f t="shared" si="42"/>
        <v>4558.609056333498</v>
      </c>
      <c r="BP51" s="1">
        <f t="shared" si="43"/>
        <v>2664.7805099703096</v>
      </c>
      <c r="BQ51" s="1">
        <f t="shared" si="44"/>
        <v>6292.703941362762</v>
      </c>
      <c r="BR51" s="1">
        <f t="shared" si="45"/>
        <v>300.5194516699853</v>
      </c>
      <c r="BS51" s="1">
        <f t="shared" si="46"/>
        <v>0</v>
      </c>
      <c r="BT51" s="1">
        <f t="shared" si="47"/>
        <v>719.7741386947814</v>
      </c>
      <c r="BU51" s="1">
        <f t="shared" si="48"/>
        <v>3238.3561602369114</v>
      </c>
      <c r="BV51" s="1">
        <f t="shared" si="49"/>
        <v>2082.263011032334</v>
      </c>
      <c r="BW51" s="1">
        <f t="shared" si="50"/>
        <v>5012.975336046739</v>
      </c>
      <c r="BX51" s="1">
        <f t="shared" si="51"/>
        <v>996.4172800728958</v>
      </c>
      <c r="BY51" s="1">
        <f t="shared" si="52"/>
        <v>498.2086400364479</v>
      </c>
      <c r="BZ51" s="1">
        <f t="shared" si="53"/>
        <v>1779.6012622101919</v>
      </c>
      <c r="CA51" s="1">
        <f t="shared" si="54"/>
        <v>23766.14639738668</v>
      </c>
      <c r="CB51" s="1">
        <f t="shared" si="55"/>
        <v>17328.996175180797</v>
      </c>
      <c r="CC51" s="1">
        <f t="shared" si="56"/>
        <v>68741.4307714368</v>
      </c>
      <c r="CD51" s="1">
        <f t="shared" si="65"/>
        <v>208034.59908304547</v>
      </c>
      <c r="CE51" s="1">
        <f t="shared" si="66"/>
        <v>104017.29954152273</v>
      </c>
      <c r="CF51" s="1">
        <f t="shared" si="67"/>
        <v>482262.02514705993</v>
      </c>
      <c r="CG51" t="s">
        <v>47</v>
      </c>
      <c r="CH51" s="3" t="s">
        <v>159</v>
      </c>
      <c r="CI51" s="1">
        <v>861496</v>
      </c>
      <c r="CJ51" s="102">
        <v>166.4809</v>
      </c>
      <c r="CK51" s="1">
        <v>2014.629</v>
      </c>
      <c r="CL51" s="1">
        <f t="shared" si="57"/>
        <v>2181.1099</v>
      </c>
      <c r="CM51" s="1">
        <v>199.02712272596</v>
      </c>
      <c r="CN51" s="1">
        <v>2220.00614182287</v>
      </c>
      <c r="CO51" s="1">
        <f t="shared" si="58"/>
        <v>2419.03326454883</v>
      </c>
      <c r="CP51" s="1">
        <f t="shared" si="68"/>
        <v>797.3133639952945</v>
      </c>
      <c r="CQ51" s="1">
        <f t="shared" si="69"/>
        <v>422.12130466377084</v>
      </c>
      <c r="CR51" s="1">
        <f t="shared" si="70"/>
        <v>1102.1115553284471</v>
      </c>
      <c r="CS51" s="1">
        <f t="shared" si="71"/>
        <v>128.63024371800327</v>
      </c>
      <c r="CT51" s="1">
        <f t="shared" si="72"/>
        <v>15.567755149354243</v>
      </c>
      <c r="CU51" s="1">
        <f t="shared" si="73"/>
        <v>254.16962267452433</v>
      </c>
      <c r="CW51" s="195"/>
      <c r="CX51" s="191"/>
      <c r="CY51" s="191"/>
      <c r="CZ51" s="233"/>
      <c r="DA51" s="191"/>
      <c r="DB51" s="191"/>
      <c r="DC51" s="192"/>
    </row>
    <row r="52" spans="1:107" ht="12.75">
      <c r="A52" t="s">
        <v>48</v>
      </c>
      <c r="B52" s="1">
        <v>11931668</v>
      </c>
      <c r="C52" s="121" t="s">
        <v>41</v>
      </c>
      <c r="D52" s="113">
        <v>28.6</v>
      </c>
      <c r="E52" s="29">
        <v>0.5</v>
      </c>
      <c r="F52" s="29">
        <v>37.5</v>
      </c>
      <c r="G52" s="116">
        <v>95</v>
      </c>
      <c r="H52" s="113">
        <v>11.7</v>
      </c>
      <c r="I52" s="1">
        <f aca="true" t="shared" si="74" ref="I52:I82">(B52*D52)/100</f>
        <v>3412457.048</v>
      </c>
      <c r="J52" s="1">
        <f aca="true" t="shared" si="75" ref="J52:J82">(B52*E52)/100</f>
        <v>59658.34</v>
      </c>
      <c r="K52" s="1">
        <f aca="true" t="shared" si="76" ref="K52:K82">(B52*F52)/100</f>
        <v>4474375.5</v>
      </c>
      <c r="L52" s="1">
        <f aca="true" t="shared" si="77" ref="L52:L82">(B52*G52)/100</f>
        <v>11335084.6</v>
      </c>
      <c r="M52" s="1">
        <f aca="true" t="shared" si="78" ref="M52:M82">(B52*H52)/100</f>
        <v>1396005.156</v>
      </c>
      <c r="N52" s="12">
        <f t="shared" si="59"/>
        <v>0.05368000000000002</v>
      </c>
      <c r="O52" s="12">
        <f t="shared" si="60"/>
        <v>-0.03324</v>
      </c>
      <c r="P52" s="12">
        <f t="shared" si="61"/>
        <v>-0.04520999999999998</v>
      </c>
      <c r="Q52" s="12">
        <f t="shared" si="62"/>
        <v>0.34256</v>
      </c>
      <c r="R52" s="12">
        <f t="shared" si="63"/>
        <v>-0.008712000000000003</v>
      </c>
      <c r="S52" s="1">
        <f t="shared" si="15"/>
        <v>3436286.49806288</v>
      </c>
      <c r="T52" s="2">
        <f aca="true" t="shared" si="79" ref="T52:T82">S52/B52</f>
        <v>0.28799716</v>
      </c>
      <c r="U52" s="1">
        <f t="shared" si="17"/>
        <v>395172.9472772312</v>
      </c>
      <c r="V52" s="1">
        <f t="shared" si="18"/>
        <v>240540.0548644016</v>
      </c>
      <c r="W52" s="1">
        <f t="shared" si="19"/>
        <v>120270.0274322008</v>
      </c>
      <c r="X52" s="1">
        <f t="shared" si="20"/>
        <v>557615.5817311128</v>
      </c>
      <c r="Y52" s="1">
        <f t="shared" si="21"/>
        <v>82470.87595350912</v>
      </c>
      <c r="Z52" s="1">
        <f t="shared" si="22"/>
        <v>41235.43797675456</v>
      </c>
      <c r="AA52" s="1">
        <f t="shared" si="23"/>
        <v>191182.48516495293</v>
      </c>
      <c r="AB52" s="1">
        <f t="shared" si="24"/>
        <v>971204.5255205078</v>
      </c>
      <c r="AC52" s="1">
        <f t="shared" si="25"/>
        <v>485602.2627602539</v>
      </c>
      <c r="AD52" s="1">
        <f t="shared" si="26"/>
        <v>2251428.6727975407</v>
      </c>
      <c r="AE52" s="1">
        <f t="shared" si="27"/>
        <v>574842.6231149469</v>
      </c>
      <c r="AF52" s="1">
        <f t="shared" si="28"/>
        <v>287421.31155747344</v>
      </c>
      <c r="AG52" s="1">
        <f t="shared" si="29"/>
        <v>1332589.7172210133</v>
      </c>
      <c r="AH52"/>
      <c r="AI52"/>
      <c r="AJ52" s="215" t="s">
        <v>489</v>
      </c>
      <c r="AK52" s="221"/>
      <c r="AL52" s="221"/>
      <c r="AM52" s="222"/>
      <c r="AN52"/>
      <c r="AP52" t="s">
        <v>48</v>
      </c>
      <c r="AQ52" s="3" t="s">
        <v>159</v>
      </c>
      <c r="AR52" s="1">
        <v>11931668</v>
      </c>
      <c r="AS52" s="1">
        <v>3436286.49806288</v>
      </c>
      <c r="AT52" s="1">
        <v>1718143.24903144</v>
      </c>
      <c r="AU52" s="1">
        <v>7965936.8818730395</v>
      </c>
      <c r="AV52" s="1">
        <v>395172.9472772312</v>
      </c>
      <c r="AW52" s="1">
        <v>274902.9198450304</v>
      </c>
      <c r="AX52" s="1">
        <v>1133974.5443607504</v>
      </c>
      <c r="AY52" s="1">
        <f t="shared" si="30"/>
        <v>72316.64935173331</v>
      </c>
      <c r="AZ52" s="1">
        <f t="shared" si="31"/>
        <v>42273.42054504922</v>
      </c>
      <c r="BA52" s="1">
        <f t="shared" si="32"/>
        <v>99825.90276513268</v>
      </c>
      <c r="BB52" s="1">
        <f t="shared" si="33"/>
        <v>22920.03094207941</v>
      </c>
      <c r="BC52" s="1">
        <f t="shared" si="34"/>
        <v>0</v>
      </c>
      <c r="BD52" s="1">
        <f t="shared" si="35"/>
        <v>54895.766109374395</v>
      </c>
      <c r="BE52" s="1">
        <f t="shared" si="64"/>
        <v>51372.48314604006</v>
      </c>
      <c r="BF52" s="1">
        <f t="shared" si="37"/>
        <v>33032.50666290376</v>
      </c>
      <c r="BG52" s="1">
        <f t="shared" si="38"/>
        <v>79524.60391007001</v>
      </c>
      <c r="BH52" s="1">
        <f t="shared" si="39"/>
        <v>15806.917891089248</v>
      </c>
      <c r="BI52" s="1">
        <f t="shared" si="40"/>
        <v>7903.458945544624</v>
      </c>
      <c r="BJ52" s="1">
        <f t="shared" si="41"/>
        <v>28231.155353485396</v>
      </c>
      <c r="BL52" s="2">
        <v>0.5</v>
      </c>
      <c r="BM52" s="2">
        <v>0</v>
      </c>
      <c r="BO52" s="1">
        <f t="shared" si="42"/>
        <v>72316.64935173331</v>
      </c>
      <c r="BP52" s="1">
        <f t="shared" si="43"/>
        <v>42273.42054504922</v>
      </c>
      <c r="BQ52" s="1">
        <f t="shared" si="44"/>
        <v>99825.90276513268</v>
      </c>
      <c r="BR52" s="1">
        <f t="shared" si="45"/>
        <v>13752.018565247647</v>
      </c>
      <c r="BS52" s="1">
        <f t="shared" si="46"/>
        <v>0</v>
      </c>
      <c r="BT52" s="1">
        <f t="shared" si="47"/>
        <v>32937.459665624636</v>
      </c>
      <c r="BU52" s="1">
        <f t="shared" si="48"/>
        <v>51372.48314604006</v>
      </c>
      <c r="BV52" s="1">
        <f t="shared" si="49"/>
        <v>33032.50666290376</v>
      </c>
      <c r="BW52" s="1">
        <f t="shared" si="50"/>
        <v>79524.60391007001</v>
      </c>
      <c r="BX52" s="1">
        <f t="shared" si="51"/>
        <v>15806.917891089248</v>
      </c>
      <c r="BY52" s="1">
        <f t="shared" si="52"/>
        <v>7903.458945544624</v>
      </c>
      <c r="BZ52" s="1">
        <f t="shared" si="53"/>
        <v>28231.155353485396</v>
      </c>
      <c r="CA52" s="1">
        <f t="shared" si="54"/>
        <v>386004.9349003994</v>
      </c>
      <c r="CB52" s="1">
        <f t="shared" si="55"/>
        <v>274902.9198450304</v>
      </c>
      <c r="CC52" s="1">
        <f t="shared" si="56"/>
        <v>1112016.2379170007</v>
      </c>
      <c r="CD52" s="1">
        <f t="shared" si="65"/>
        <v>3367560.7681016224</v>
      </c>
      <c r="CE52" s="1">
        <f t="shared" si="66"/>
        <v>1683780.3840508112</v>
      </c>
      <c r="CF52" s="1">
        <f t="shared" si="67"/>
        <v>7806618.144235578</v>
      </c>
      <c r="CG52" t="s">
        <v>48</v>
      </c>
      <c r="CH52" s="3" t="s">
        <v>159</v>
      </c>
      <c r="CI52" s="1">
        <v>11931668</v>
      </c>
      <c r="CJ52" s="102">
        <v>7949.575</v>
      </c>
      <c r="CK52" s="1">
        <v>49894.52</v>
      </c>
      <c r="CL52" s="1">
        <f t="shared" si="57"/>
        <v>57844.094999999994</v>
      </c>
      <c r="CM52" s="1">
        <v>7085.07237289799</v>
      </c>
      <c r="CN52" s="1">
        <v>30183.631108008</v>
      </c>
      <c r="CO52" s="1">
        <f t="shared" si="58"/>
        <v>37268.70348090599</v>
      </c>
      <c r="CP52" s="1">
        <f t="shared" si="68"/>
        <v>12283.764667306616</v>
      </c>
      <c r="CQ52" s="1">
        <f t="shared" si="69"/>
        <v>6503.388757418095</v>
      </c>
      <c r="CR52" s="1">
        <f t="shared" si="70"/>
        <v>16979.62130590077</v>
      </c>
      <c r="CS52" s="1">
        <f t="shared" si="71"/>
        <v>5195.850983676191</v>
      </c>
      <c r="CT52" s="1">
        <f t="shared" si="72"/>
        <v>683.5663890537863</v>
      </c>
      <c r="CU52" s="1">
        <f t="shared" si="73"/>
        <v>9428.675357080368</v>
      </c>
      <c r="CW52" s="195" t="s">
        <v>613</v>
      </c>
      <c r="CX52" s="191"/>
      <c r="CY52" s="191"/>
      <c r="CZ52" s="233"/>
      <c r="DA52" s="191"/>
      <c r="DB52" s="191"/>
      <c r="DC52" s="192"/>
    </row>
    <row r="53" spans="1:107" ht="12.75">
      <c r="A53" t="s">
        <v>49</v>
      </c>
      <c r="B53" s="1">
        <v>6664323</v>
      </c>
      <c r="C53" s="121" t="s">
        <v>41</v>
      </c>
      <c r="D53" s="113">
        <v>15.8</v>
      </c>
      <c r="E53" s="29">
        <v>2.5</v>
      </c>
      <c r="F53" s="29">
        <v>57.1</v>
      </c>
      <c r="G53" s="116">
        <v>83</v>
      </c>
      <c r="H53" s="115">
        <v>10</v>
      </c>
      <c r="I53" s="1">
        <f t="shared" si="74"/>
        <v>1052963.034</v>
      </c>
      <c r="J53" s="1">
        <f t="shared" si="75"/>
        <v>166608.075</v>
      </c>
      <c r="K53" s="1">
        <f t="shared" si="76"/>
        <v>3805328.433</v>
      </c>
      <c r="L53" s="1">
        <f t="shared" si="77"/>
        <v>5531388.09</v>
      </c>
      <c r="M53" s="1">
        <f t="shared" si="78"/>
        <v>666432.3</v>
      </c>
      <c r="N53" s="12">
        <f t="shared" si="59"/>
        <v>-0.04872000000000001</v>
      </c>
      <c r="O53" s="12">
        <f t="shared" si="60"/>
        <v>-0.02524</v>
      </c>
      <c r="P53" s="12">
        <f t="shared" si="61"/>
        <v>0.013590000000000034</v>
      </c>
      <c r="Q53" s="12">
        <f t="shared" si="62"/>
        <v>0.24655999999999995</v>
      </c>
      <c r="R53" s="12">
        <f t="shared" si="63"/>
        <v>-0.02554199999999999</v>
      </c>
      <c r="S53" s="1">
        <f t="shared" si="15"/>
        <v>1701685.29548688</v>
      </c>
      <c r="T53" s="2">
        <f t="shared" si="79"/>
        <v>0.25534256</v>
      </c>
      <c r="U53" s="1">
        <f t="shared" si="17"/>
        <v>195693.80898099122</v>
      </c>
      <c r="V53" s="1">
        <f t="shared" si="18"/>
        <v>119117.9706840816</v>
      </c>
      <c r="W53" s="1">
        <f t="shared" si="19"/>
        <v>59558.9853420408</v>
      </c>
      <c r="X53" s="1">
        <f t="shared" si="20"/>
        <v>276137.11385855277</v>
      </c>
      <c r="Y53" s="1">
        <f t="shared" si="21"/>
        <v>22870.65037134367</v>
      </c>
      <c r="Z53" s="1">
        <f t="shared" si="22"/>
        <v>11435.325185671834</v>
      </c>
      <c r="AA53" s="1">
        <f t="shared" si="23"/>
        <v>53018.32586084213</v>
      </c>
      <c r="AB53" s="1">
        <f t="shared" si="24"/>
        <v>474472.6067163648</v>
      </c>
      <c r="AC53" s="1">
        <f t="shared" si="25"/>
        <v>237236.3033581824</v>
      </c>
      <c r="AD53" s="1">
        <f t="shared" si="26"/>
        <v>1099913.770115209</v>
      </c>
      <c r="AE53" s="1">
        <f t="shared" si="27"/>
        <v>280833.82096561533</v>
      </c>
      <c r="AF53" s="1">
        <f t="shared" si="28"/>
        <v>140416.91048280767</v>
      </c>
      <c r="AG53" s="1">
        <f t="shared" si="29"/>
        <v>651023.8576930173</v>
      </c>
      <c r="AH53"/>
      <c r="AI53"/>
      <c r="AJ53"/>
      <c r="AK53"/>
      <c r="AL53"/>
      <c r="AM53"/>
      <c r="AN53"/>
      <c r="AP53" t="s">
        <v>49</v>
      </c>
      <c r="AQ53" s="3" t="s">
        <v>159</v>
      </c>
      <c r="AR53" s="1">
        <v>6664323</v>
      </c>
      <c r="AS53" s="1">
        <v>1701685.29548688</v>
      </c>
      <c r="AT53" s="1">
        <v>850842.64774344</v>
      </c>
      <c r="AU53" s="1">
        <v>3944815.9122650395</v>
      </c>
      <c r="AV53" s="1">
        <v>195693.80898099122</v>
      </c>
      <c r="AW53" s="1">
        <v>136134.82363895042</v>
      </c>
      <c r="AX53" s="1">
        <v>561556.1475106705</v>
      </c>
      <c r="AY53" s="1">
        <f t="shared" si="30"/>
        <v>35811.96704352139</v>
      </c>
      <c r="AZ53" s="1">
        <f t="shared" si="31"/>
        <v>20934.243454960862</v>
      </c>
      <c r="BA53" s="1">
        <f t="shared" si="32"/>
        <v>49434.83930687693</v>
      </c>
      <c r="BB53" s="1">
        <f t="shared" si="33"/>
        <v>11350.240920897491</v>
      </c>
      <c r="BC53" s="1">
        <f t="shared" si="34"/>
        <v>0</v>
      </c>
      <c r="BD53" s="1">
        <f t="shared" si="35"/>
        <v>27184.962029641578</v>
      </c>
      <c r="BE53" s="1">
        <f t="shared" si="64"/>
        <v>25440.19516752886</v>
      </c>
      <c r="BF53" s="1">
        <f t="shared" si="37"/>
        <v>16358.045492721056</v>
      </c>
      <c r="BG53" s="1">
        <f t="shared" si="38"/>
        <v>39381.422119334675</v>
      </c>
      <c r="BH53" s="1">
        <f t="shared" si="39"/>
        <v>7827.752359239649</v>
      </c>
      <c r="BI53" s="1">
        <f t="shared" si="40"/>
        <v>3913.8761796198246</v>
      </c>
      <c r="BJ53" s="1">
        <f t="shared" si="41"/>
        <v>13980.365713602014</v>
      </c>
      <c r="BL53" s="2">
        <v>0.83</v>
      </c>
      <c r="BM53" s="2">
        <v>0</v>
      </c>
      <c r="BO53" s="1">
        <f t="shared" si="42"/>
        <v>35811.96704352139</v>
      </c>
      <c r="BP53" s="1">
        <f t="shared" si="43"/>
        <v>20934.243454960862</v>
      </c>
      <c r="BQ53" s="1">
        <f t="shared" si="44"/>
        <v>49434.83930687693</v>
      </c>
      <c r="BR53" s="1">
        <f t="shared" si="45"/>
        <v>3813.6809494215568</v>
      </c>
      <c r="BS53" s="1">
        <f t="shared" si="46"/>
        <v>0</v>
      </c>
      <c r="BT53" s="1">
        <f t="shared" si="47"/>
        <v>9134.14724195957</v>
      </c>
      <c r="BU53" s="1">
        <f t="shared" si="48"/>
        <v>25440.19516752886</v>
      </c>
      <c r="BV53" s="1">
        <f t="shared" si="49"/>
        <v>16358.045492721056</v>
      </c>
      <c r="BW53" s="1">
        <f t="shared" si="50"/>
        <v>39381.422119334675</v>
      </c>
      <c r="BX53" s="1">
        <f t="shared" si="51"/>
        <v>7827.752359239649</v>
      </c>
      <c r="BY53" s="1">
        <f t="shared" si="52"/>
        <v>3913.8761796198246</v>
      </c>
      <c r="BZ53" s="1">
        <f t="shared" si="53"/>
        <v>13980.365713602014</v>
      </c>
      <c r="CA53" s="1">
        <f t="shared" si="54"/>
        <v>188157.24900951528</v>
      </c>
      <c r="CB53" s="1">
        <f t="shared" si="55"/>
        <v>136134.82363895042</v>
      </c>
      <c r="CC53" s="1">
        <f t="shared" si="56"/>
        <v>543505.3327229884</v>
      </c>
      <c r="CD53" s="1">
        <f t="shared" si="65"/>
        <v>1645189.3436767156</v>
      </c>
      <c r="CE53" s="1">
        <f t="shared" si="66"/>
        <v>822594.6718383578</v>
      </c>
      <c r="CF53" s="1">
        <f t="shared" si="67"/>
        <v>3813848.0239778403</v>
      </c>
      <c r="CG53" t="s">
        <v>49</v>
      </c>
      <c r="CH53" s="3" t="s">
        <v>159</v>
      </c>
      <c r="CI53" s="1">
        <v>6664323</v>
      </c>
      <c r="CJ53" s="102">
        <v>1814.785</v>
      </c>
      <c r="CK53" s="1">
        <v>18659.46</v>
      </c>
      <c r="CL53" s="1">
        <f t="shared" si="57"/>
        <v>20474.245</v>
      </c>
      <c r="CM53" s="1">
        <v>1773.40650712378</v>
      </c>
      <c r="CN53" s="1">
        <v>15290.4697710456</v>
      </c>
      <c r="CO53" s="1">
        <f t="shared" si="58"/>
        <v>17063.87627816938</v>
      </c>
      <c r="CP53" s="1">
        <f t="shared" si="68"/>
        <v>5624.253621284628</v>
      </c>
      <c r="CQ53" s="1">
        <f t="shared" si="69"/>
        <v>2977.6464105405566</v>
      </c>
      <c r="CR53" s="1">
        <f t="shared" si="70"/>
        <v>7774.30203233397</v>
      </c>
      <c r="CS53" s="1">
        <f t="shared" si="71"/>
        <v>1419.2902006910774</v>
      </c>
      <c r="CT53" s="1">
        <f t="shared" si="72"/>
        <v>176.69377020500727</v>
      </c>
      <c r="CU53" s="1">
        <f t="shared" si="73"/>
        <v>2720.350997425321</v>
      </c>
      <c r="CW53" s="195"/>
      <c r="CX53" s="191"/>
      <c r="CY53" s="191"/>
      <c r="CZ53" s="233"/>
      <c r="DA53" s="191"/>
      <c r="DB53" s="191"/>
      <c r="DC53" s="192"/>
    </row>
    <row r="54" spans="1:107" ht="12.75">
      <c r="A54" t="s">
        <v>50</v>
      </c>
      <c r="B54" s="1">
        <v>274307</v>
      </c>
      <c r="C54" s="121" t="s">
        <v>41</v>
      </c>
      <c r="D54" s="113">
        <v>12.9</v>
      </c>
      <c r="E54" s="29">
        <v>6.5</v>
      </c>
      <c r="F54" s="29">
        <v>52.8</v>
      </c>
      <c r="G54" s="116">
        <v>69</v>
      </c>
      <c r="H54" s="113">
        <v>7.1</v>
      </c>
      <c r="I54" s="1">
        <f t="shared" si="74"/>
        <v>35385.603</v>
      </c>
      <c r="J54" s="1">
        <f t="shared" si="75"/>
        <v>17829.955</v>
      </c>
      <c r="K54" s="1">
        <f t="shared" si="76"/>
        <v>144834.096</v>
      </c>
      <c r="L54" s="1">
        <f t="shared" si="77"/>
        <v>189271.83</v>
      </c>
      <c r="M54" s="1">
        <f t="shared" si="78"/>
        <v>19475.797</v>
      </c>
      <c r="N54" s="12">
        <f t="shared" si="59"/>
        <v>-0.07192000000000001</v>
      </c>
      <c r="O54" s="12">
        <f t="shared" si="60"/>
        <v>-0.009239999999999998</v>
      </c>
      <c r="P54" s="12">
        <f t="shared" si="61"/>
        <v>0.0006900000000000239</v>
      </c>
      <c r="Q54" s="12">
        <f t="shared" si="62"/>
        <v>0.13455999999999993</v>
      </c>
      <c r="R54" s="12">
        <f t="shared" si="63"/>
        <v>-0.054252</v>
      </c>
      <c r="S54" s="1">
        <f t="shared" si="15"/>
        <v>60337.76369852</v>
      </c>
      <c r="T54" s="2">
        <f t="shared" si="79"/>
        <v>0.21996436</v>
      </c>
      <c r="U54" s="1">
        <f t="shared" si="17"/>
        <v>6938.842825329801</v>
      </c>
      <c r="V54" s="1">
        <f t="shared" si="18"/>
        <v>4223.6434588964</v>
      </c>
      <c r="W54" s="1">
        <f t="shared" si="19"/>
        <v>2111.8217294482</v>
      </c>
      <c r="X54" s="1">
        <f t="shared" si="20"/>
        <v>9791.1734728962</v>
      </c>
      <c r="Y54" s="1">
        <f t="shared" si="21"/>
        <v>810.9395441081087</v>
      </c>
      <c r="Z54" s="1">
        <f t="shared" si="22"/>
        <v>405.4697720540544</v>
      </c>
      <c r="AA54" s="1">
        <f t="shared" si="23"/>
        <v>1879.9053067960708</v>
      </c>
      <c r="AB54" s="1">
        <f t="shared" si="24"/>
        <v>16823.68420377148</v>
      </c>
      <c r="AC54" s="1">
        <f t="shared" si="25"/>
        <v>8411.84210188574</v>
      </c>
      <c r="AD54" s="1">
        <f t="shared" si="26"/>
        <v>39000.3588360157</v>
      </c>
      <c r="AE54" s="1">
        <f t="shared" si="27"/>
        <v>9957.707675394564</v>
      </c>
      <c r="AF54" s="1">
        <f t="shared" si="28"/>
        <v>4978.853837697282</v>
      </c>
      <c r="AG54" s="1">
        <f t="shared" si="29"/>
        <v>23083.77688386921</v>
      </c>
      <c r="AH54"/>
      <c r="AI54"/>
      <c r="AN54"/>
      <c r="AP54" t="s">
        <v>50</v>
      </c>
      <c r="AQ54" s="3" t="s">
        <v>159</v>
      </c>
      <c r="AR54" s="1">
        <v>274307</v>
      </c>
      <c r="AS54" s="1">
        <v>60337.76369852</v>
      </c>
      <c r="AT54" s="1">
        <v>30168.88184926</v>
      </c>
      <c r="AU54" s="1">
        <v>139873.90675566</v>
      </c>
      <c r="AV54" s="1">
        <v>6938.842825329801</v>
      </c>
      <c r="AW54" s="1">
        <v>4827.021095881601</v>
      </c>
      <c r="AX54" s="1">
        <v>19911.4620205116</v>
      </c>
      <c r="AY54" s="1">
        <f t="shared" si="30"/>
        <v>1269.8082370353534</v>
      </c>
      <c r="AZ54" s="1">
        <f t="shared" si="31"/>
        <v>742.2791030413862</v>
      </c>
      <c r="BA54" s="1">
        <f t="shared" si="32"/>
        <v>1752.843290403602</v>
      </c>
      <c r="BB54" s="1">
        <f t="shared" si="33"/>
        <v>402.45288386912847</v>
      </c>
      <c r="BC54" s="1">
        <f t="shared" si="34"/>
        <v>0</v>
      </c>
      <c r="BD54" s="1">
        <f t="shared" si="35"/>
        <v>963.9149021549495</v>
      </c>
      <c r="BE54" s="1">
        <f t="shared" si="64"/>
        <v>902.0495672928741</v>
      </c>
      <c r="BF54" s="1">
        <f t="shared" si="37"/>
        <v>580.017871769318</v>
      </c>
      <c r="BG54" s="1">
        <f t="shared" si="38"/>
        <v>1396.372730169369</v>
      </c>
      <c r="BH54" s="1">
        <f t="shared" si="39"/>
        <v>277.553713013192</v>
      </c>
      <c r="BI54" s="1">
        <f t="shared" si="40"/>
        <v>138.776856506596</v>
      </c>
      <c r="BJ54" s="1">
        <f t="shared" si="41"/>
        <v>495.71093144156094</v>
      </c>
      <c r="BL54" s="2">
        <v>0.83</v>
      </c>
      <c r="BM54" s="2">
        <v>0</v>
      </c>
      <c r="BO54" s="1">
        <f t="shared" si="42"/>
        <v>1269.8082370353534</v>
      </c>
      <c r="BP54" s="1">
        <f t="shared" si="43"/>
        <v>742.2791030413862</v>
      </c>
      <c r="BQ54" s="1">
        <f t="shared" si="44"/>
        <v>1752.843290403602</v>
      </c>
      <c r="BR54" s="1">
        <f t="shared" si="45"/>
        <v>135.22416898002717</v>
      </c>
      <c r="BS54" s="1">
        <f t="shared" si="46"/>
        <v>0</v>
      </c>
      <c r="BT54" s="1">
        <f t="shared" si="47"/>
        <v>323.87540712406303</v>
      </c>
      <c r="BU54" s="1">
        <f t="shared" si="48"/>
        <v>902.0495672928741</v>
      </c>
      <c r="BV54" s="1">
        <f t="shared" si="49"/>
        <v>580.017871769318</v>
      </c>
      <c r="BW54" s="1">
        <f t="shared" si="50"/>
        <v>1396.372730169369</v>
      </c>
      <c r="BX54" s="1">
        <f t="shared" si="51"/>
        <v>277.553713013192</v>
      </c>
      <c r="BY54" s="1">
        <f t="shared" si="52"/>
        <v>138.776856506596</v>
      </c>
      <c r="BZ54" s="1">
        <f t="shared" si="53"/>
        <v>495.71093144156094</v>
      </c>
      <c r="CA54" s="1">
        <f t="shared" si="54"/>
        <v>6671.6141104407</v>
      </c>
      <c r="CB54" s="1">
        <f t="shared" si="55"/>
        <v>4827.021095881601</v>
      </c>
      <c r="CC54" s="1">
        <f t="shared" si="56"/>
        <v>19271.422525480713</v>
      </c>
      <c r="CD54" s="1">
        <f t="shared" si="65"/>
        <v>58334.54994372914</v>
      </c>
      <c r="CE54" s="1">
        <f t="shared" si="66"/>
        <v>29167.27497186457</v>
      </c>
      <c r="CF54" s="1">
        <f t="shared" si="67"/>
        <v>135230.09305137207</v>
      </c>
      <c r="CG54" t="s">
        <v>50</v>
      </c>
      <c r="CH54" s="3" t="s">
        <v>159</v>
      </c>
      <c r="CI54" s="1">
        <v>274307</v>
      </c>
      <c r="CJ54" s="102">
        <v>85.65793</v>
      </c>
      <c r="CK54" s="1">
        <v>543.3821</v>
      </c>
      <c r="CL54" s="1">
        <f t="shared" si="57"/>
        <v>629.04003</v>
      </c>
      <c r="CM54" s="1">
        <v>93.9058753499295</v>
      </c>
      <c r="CN54" s="1">
        <v>512.881554208549</v>
      </c>
      <c r="CO54" s="1">
        <f t="shared" si="58"/>
        <v>606.7874295584785</v>
      </c>
      <c r="CP54" s="1">
        <f t="shared" si="68"/>
        <v>199.9971367824745</v>
      </c>
      <c r="CQ54" s="1">
        <f t="shared" si="69"/>
        <v>105.88440645795448</v>
      </c>
      <c r="CR54" s="1">
        <f t="shared" si="70"/>
        <v>276.4523529068428</v>
      </c>
      <c r="CS54" s="1">
        <f t="shared" si="71"/>
        <v>50.46962592999218</v>
      </c>
      <c r="CT54" s="1">
        <f t="shared" si="72"/>
        <v>6.283188936317989</v>
      </c>
      <c r="CU54" s="1">
        <f t="shared" si="73"/>
        <v>96.73504204530242</v>
      </c>
      <c r="CW54" s="195" t="s">
        <v>614</v>
      </c>
      <c r="CX54" s="191"/>
      <c r="CY54" s="191"/>
      <c r="CZ54" s="233"/>
      <c r="DA54" s="191"/>
      <c r="DB54" s="191"/>
      <c r="DC54" s="192"/>
    </row>
    <row r="55" spans="1:107" ht="12.75">
      <c r="A55" t="s">
        <v>51</v>
      </c>
      <c r="B55" s="1">
        <v>2714859</v>
      </c>
      <c r="C55" s="121" t="s">
        <v>41</v>
      </c>
      <c r="D55" s="113">
        <v>12</v>
      </c>
      <c r="E55" s="115">
        <v>8.6</v>
      </c>
      <c r="F55" s="115">
        <v>13.6</v>
      </c>
      <c r="G55" s="116">
        <v>98</v>
      </c>
      <c r="H55" s="115">
        <v>10.1</v>
      </c>
      <c r="I55" s="1">
        <f t="shared" si="74"/>
        <v>325783.08</v>
      </c>
      <c r="J55" s="1">
        <f t="shared" si="75"/>
        <v>233477.87399999998</v>
      </c>
      <c r="K55" s="1">
        <f t="shared" si="76"/>
        <v>369220.82399999996</v>
      </c>
      <c r="L55" s="1">
        <f t="shared" si="77"/>
        <v>2660561.82</v>
      </c>
      <c r="M55" s="1">
        <f t="shared" si="78"/>
        <v>274200.75899999996</v>
      </c>
      <c r="N55" s="12">
        <f t="shared" si="59"/>
        <v>-0.07912000000000002</v>
      </c>
      <c r="O55" s="12">
        <f t="shared" si="60"/>
        <v>-0.0008400000000000019</v>
      </c>
      <c r="P55" s="12">
        <f t="shared" si="61"/>
        <v>-0.11690999999999997</v>
      </c>
      <c r="Q55" s="12">
        <f t="shared" si="62"/>
        <v>0.36656</v>
      </c>
      <c r="R55" s="12">
        <f t="shared" si="63"/>
        <v>-0.024552</v>
      </c>
      <c r="S55" s="1">
        <f t="shared" si="15"/>
        <v>683955.4052192402</v>
      </c>
      <c r="T55" s="2">
        <f t="shared" si="79"/>
        <v>0.2519303600000001</v>
      </c>
      <c r="U55" s="1">
        <f t="shared" si="17"/>
        <v>78654.87160021263</v>
      </c>
      <c r="V55" s="1">
        <f t="shared" si="18"/>
        <v>47876.87836534682</v>
      </c>
      <c r="W55" s="1">
        <f t="shared" si="19"/>
        <v>23938.43918267341</v>
      </c>
      <c r="X55" s="1">
        <f t="shared" si="20"/>
        <v>110987.30893784942</v>
      </c>
      <c r="Y55" s="1">
        <f t="shared" si="21"/>
        <v>7003.703349445019</v>
      </c>
      <c r="Z55" s="1">
        <f t="shared" si="22"/>
        <v>3501.8516747225094</v>
      </c>
      <c r="AA55" s="1">
        <f t="shared" si="23"/>
        <v>16235.857764622539</v>
      </c>
      <c r="AB55" s="1">
        <f t="shared" si="24"/>
        <v>189914.93697944237</v>
      </c>
      <c r="AC55" s="1">
        <f t="shared" si="25"/>
        <v>94957.46848972118</v>
      </c>
      <c r="AD55" s="1">
        <f t="shared" si="26"/>
        <v>440257.35390688904</v>
      </c>
      <c r="AE55" s="1">
        <f t="shared" si="27"/>
        <v>112408.04348956593</v>
      </c>
      <c r="AF55" s="1">
        <f t="shared" si="28"/>
        <v>56204.021744782964</v>
      </c>
      <c r="AG55" s="1">
        <f t="shared" si="29"/>
        <v>260582.28263490275</v>
      </c>
      <c r="AH55"/>
      <c r="AI55"/>
      <c r="AN55"/>
      <c r="AP55" t="s">
        <v>51</v>
      </c>
      <c r="AQ55" s="3" t="s">
        <v>159</v>
      </c>
      <c r="AR55" s="1">
        <v>2714859</v>
      </c>
      <c r="AS55" s="1">
        <v>683955.4052192402</v>
      </c>
      <c r="AT55" s="1">
        <v>341977.7026096201</v>
      </c>
      <c r="AU55" s="1">
        <v>1585532.9848264202</v>
      </c>
      <c r="AV55" s="1">
        <v>78654.87160021263</v>
      </c>
      <c r="AW55" s="1">
        <v>54716.43241753922</v>
      </c>
      <c r="AX55" s="1">
        <v>225705.2837223493</v>
      </c>
      <c r="AY55" s="1">
        <f t="shared" si="30"/>
        <v>14393.841502838912</v>
      </c>
      <c r="AZ55" s="1">
        <f t="shared" si="31"/>
        <v>8414.063988899514</v>
      </c>
      <c r="BA55" s="1">
        <f t="shared" si="32"/>
        <v>19869.258810518833</v>
      </c>
      <c r="BB55" s="1">
        <f t="shared" si="33"/>
        <v>4561.982552812333</v>
      </c>
      <c r="BC55" s="1">
        <f t="shared" si="34"/>
        <v>0</v>
      </c>
      <c r="BD55" s="1">
        <f t="shared" si="35"/>
        <v>10926.404412240818</v>
      </c>
      <c r="BE55" s="1">
        <f t="shared" si="64"/>
        <v>10225.133308027642</v>
      </c>
      <c r="BF55" s="1">
        <f t="shared" si="37"/>
        <v>6574.760717061774</v>
      </c>
      <c r="BG55" s="1">
        <f t="shared" si="38"/>
        <v>15828.50636082679</v>
      </c>
      <c r="BH55" s="1">
        <f t="shared" si="39"/>
        <v>3146.194864008505</v>
      </c>
      <c r="BI55" s="1">
        <f t="shared" si="40"/>
        <v>1573.0974320042526</v>
      </c>
      <c r="BJ55" s="1">
        <f t="shared" si="41"/>
        <v>5619.1040271191905</v>
      </c>
      <c r="BL55" s="2">
        <v>0.93</v>
      </c>
      <c r="BM55" s="2">
        <v>0</v>
      </c>
      <c r="BO55" s="1">
        <f t="shared" si="42"/>
        <v>14393.841502838912</v>
      </c>
      <c r="BP55" s="1">
        <f t="shared" si="43"/>
        <v>8414.063988899514</v>
      </c>
      <c r="BQ55" s="1">
        <f t="shared" si="44"/>
        <v>19869.258810518833</v>
      </c>
      <c r="BR55" s="1">
        <f t="shared" si="45"/>
        <v>1167.8675335199569</v>
      </c>
      <c r="BS55" s="1">
        <f t="shared" si="46"/>
        <v>0</v>
      </c>
      <c r="BT55" s="1">
        <f t="shared" si="47"/>
        <v>2797.159529533649</v>
      </c>
      <c r="BU55" s="1">
        <f t="shared" si="48"/>
        <v>10225.133308027642</v>
      </c>
      <c r="BV55" s="1">
        <f t="shared" si="49"/>
        <v>6574.760717061774</v>
      </c>
      <c r="BW55" s="1">
        <f t="shared" si="50"/>
        <v>15828.50636082679</v>
      </c>
      <c r="BX55" s="1">
        <f t="shared" si="51"/>
        <v>3146.194864008505</v>
      </c>
      <c r="BY55" s="1">
        <f t="shared" si="52"/>
        <v>1573.0974320042526</v>
      </c>
      <c r="BZ55" s="1">
        <f t="shared" si="53"/>
        <v>5619.1040271191905</v>
      </c>
      <c r="CA55" s="1">
        <f t="shared" si="54"/>
        <v>75260.75658092025</v>
      </c>
      <c r="CB55" s="1">
        <f t="shared" si="55"/>
        <v>54716.43241753922</v>
      </c>
      <c r="CC55" s="1">
        <f t="shared" si="56"/>
        <v>217576.03883964213</v>
      </c>
      <c r="CD55" s="1">
        <f t="shared" si="65"/>
        <v>658512.2641450845</v>
      </c>
      <c r="CE55" s="1">
        <f t="shared" si="66"/>
        <v>329256.13207254227</v>
      </c>
      <c r="CF55" s="1">
        <f t="shared" si="67"/>
        <v>1526551.1577908774</v>
      </c>
      <c r="CG55" t="s">
        <v>51</v>
      </c>
      <c r="CH55" s="3" t="s">
        <v>159</v>
      </c>
      <c r="CI55" s="1">
        <v>2714859</v>
      </c>
      <c r="CJ55" s="102">
        <v>1439.974</v>
      </c>
      <c r="CK55" s="1">
        <v>6425.37</v>
      </c>
      <c r="CL55" s="1">
        <f t="shared" si="57"/>
        <v>7865.344</v>
      </c>
      <c r="CM55" s="1">
        <v>1492.33816699555</v>
      </c>
      <c r="CN55" s="1">
        <v>5439.82450897292</v>
      </c>
      <c r="CO55" s="1">
        <f t="shared" si="58"/>
        <v>6932.16267596847</v>
      </c>
      <c r="CP55" s="1">
        <f t="shared" si="68"/>
        <v>2284.8408179992075</v>
      </c>
      <c r="CQ55" s="1">
        <f t="shared" si="69"/>
        <v>1209.6623869564978</v>
      </c>
      <c r="CR55" s="1">
        <f t="shared" si="70"/>
        <v>3158.2933151712346</v>
      </c>
      <c r="CS55" s="1">
        <f t="shared" si="71"/>
        <v>448.1772862896891</v>
      </c>
      <c r="CT55" s="1">
        <f t="shared" si="72"/>
        <v>54.825806153754904</v>
      </c>
      <c r="CU55" s="1">
        <f t="shared" si="73"/>
        <v>875.2304910423416</v>
      </c>
      <c r="CW55" s="209" t="s">
        <v>615</v>
      </c>
      <c r="CX55" s="205"/>
      <c r="CY55" s="205"/>
      <c r="CZ55" s="205"/>
      <c r="DA55" s="205"/>
      <c r="DB55" s="205"/>
      <c r="DC55" s="206"/>
    </row>
    <row r="56" spans="1:107" ht="12.75">
      <c r="A56" t="s">
        <v>52</v>
      </c>
      <c r="B56" s="1">
        <v>3876419</v>
      </c>
      <c r="C56" s="121" t="s">
        <v>41</v>
      </c>
      <c r="D56" s="115">
        <v>18</v>
      </c>
      <c r="E56" s="115">
        <v>16</v>
      </c>
      <c r="F56" s="115">
        <v>63</v>
      </c>
      <c r="G56" s="116">
        <v>97</v>
      </c>
      <c r="H56" s="115">
        <v>13.5</v>
      </c>
      <c r="I56" s="1">
        <f t="shared" si="74"/>
        <v>697755.42</v>
      </c>
      <c r="J56" s="1">
        <f t="shared" si="75"/>
        <v>620227.04</v>
      </c>
      <c r="K56" s="1">
        <f t="shared" si="76"/>
        <v>2442143.97</v>
      </c>
      <c r="L56" s="1">
        <f t="shared" si="77"/>
        <v>3760126.43</v>
      </c>
      <c r="M56" s="1">
        <f t="shared" si="78"/>
        <v>523316.565</v>
      </c>
      <c r="N56" s="12">
        <f t="shared" si="59"/>
        <v>-0.031120000000000016</v>
      </c>
      <c r="O56" s="12">
        <f t="shared" si="60"/>
        <v>0.028760000000000004</v>
      </c>
      <c r="P56" s="12">
        <f t="shared" si="61"/>
        <v>0.03129000000000002</v>
      </c>
      <c r="Q56" s="12">
        <f t="shared" si="62"/>
        <v>0.35856</v>
      </c>
      <c r="R56" s="12">
        <f t="shared" si="63"/>
        <v>0.009108000000000014</v>
      </c>
      <c r="S56" s="1">
        <f t="shared" si="15"/>
        <v>1191035.78496364</v>
      </c>
      <c r="T56" s="2">
        <f t="shared" si="79"/>
        <v>0.30725156</v>
      </c>
      <c r="U56" s="1">
        <f t="shared" si="17"/>
        <v>136969.11527081858</v>
      </c>
      <c r="V56" s="1">
        <f t="shared" si="18"/>
        <v>83372.5049474548</v>
      </c>
      <c r="W56" s="1">
        <f t="shared" si="19"/>
        <v>41686.2524737274</v>
      </c>
      <c r="X56" s="1">
        <f t="shared" si="20"/>
        <v>193272.62510546343</v>
      </c>
      <c r="Y56" s="1">
        <f t="shared" si="21"/>
        <v>19437.7040106066</v>
      </c>
      <c r="Z56" s="1">
        <f t="shared" si="22"/>
        <v>9718.8520053033</v>
      </c>
      <c r="AA56" s="1">
        <f t="shared" si="23"/>
        <v>45060.13202458804</v>
      </c>
      <c r="AB56" s="1">
        <f t="shared" si="24"/>
        <v>333327.27666016173</v>
      </c>
      <c r="AC56" s="1">
        <f t="shared" si="25"/>
        <v>166663.63833008087</v>
      </c>
      <c r="AD56" s="1">
        <f t="shared" si="26"/>
        <v>772713.2322576478</v>
      </c>
      <c r="AE56" s="1">
        <f t="shared" si="27"/>
        <v>197291.83816189182</v>
      </c>
      <c r="AF56" s="1">
        <f t="shared" si="28"/>
        <v>98645.91908094591</v>
      </c>
      <c r="AG56" s="1">
        <f t="shared" si="29"/>
        <v>457358.3521025675</v>
      </c>
      <c r="AH56"/>
      <c r="AI56"/>
      <c r="AN56"/>
      <c r="AP56" t="s">
        <v>52</v>
      </c>
      <c r="AQ56" s="3" t="s">
        <v>159</v>
      </c>
      <c r="AR56" s="1">
        <v>3876419</v>
      </c>
      <c r="AS56" s="1">
        <v>1191035.78496364</v>
      </c>
      <c r="AT56" s="1">
        <v>595517.89248182</v>
      </c>
      <c r="AU56" s="1">
        <v>2761037.50150662</v>
      </c>
      <c r="AV56" s="1">
        <v>136969.11527081858</v>
      </c>
      <c r="AW56" s="1">
        <v>95282.86279709119</v>
      </c>
      <c r="AX56" s="1">
        <v>393041.80903800117</v>
      </c>
      <c r="AY56" s="1">
        <f t="shared" si="30"/>
        <v>25065.3480945598</v>
      </c>
      <c r="AZ56" s="1">
        <f t="shared" si="31"/>
        <v>14652.199882155875</v>
      </c>
      <c r="BA56" s="1">
        <f t="shared" si="32"/>
        <v>34600.20650973035</v>
      </c>
      <c r="BB56" s="1">
        <f t="shared" si="33"/>
        <v>7944.208685707478</v>
      </c>
      <c r="BC56" s="1">
        <f t="shared" si="34"/>
        <v>0</v>
      </c>
      <c r="BD56" s="1">
        <f t="shared" si="35"/>
        <v>19027.17422313798</v>
      </c>
      <c r="BE56" s="1">
        <f t="shared" si="64"/>
        <v>17805.984985206418</v>
      </c>
      <c r="BF56" s="1">
        <f t="shared" si="37"/>
        <v>11449.248345487727</v>
      </c>
      <c r="BG56" s="1">
        <f t="shared" si="38"/>
        <v>27563.664757099537</v>
      </c>
      <c r="BH56" s="1">
        <f t="shared" si="39"/>
        <v>5478.7646108327435</v>
      </c>
      <c r="BI56" s="1">
        <f t="shared" si="40"/>
        <v>2739.3823054163718</v>
      </c>
      <c r="BJ56" s="1">
        <f t="shared" si="41"/>
        <v>9785.07359494728</v>
      </c>
      <c r="BL56" s="2">
        <v>0.74</v>
      </c>
      <c r="BM56" s="2">
        <v>0</v>
      </c>
      <c r="BO56" s="1">
        <f t="shared" si="42"/>
        <v>25065.3480945598</v>
      </c>
      <c r="BP56" s="1">
        <f t="shared" si="43"/>
        <v>14652.199882155875</v>
      </c>
      <c r="BQ56" s="1">
        <f t="shared" si="44"/>
        <v>34600.20650973035</v>
      </c>
      <c r="BR56" s="1">
        <f t="shared" si="45"/>
        <v>3241.2371437686506</v>
      </c>
      <c r="BS56" s="1">
        <f t="shared" si="46"/>
        <v>0</v>
      </c>
      <c r="BT56" s="1">
        <f t="shared" si="47"/>
        <v>7763.087083040296</v>
      </c>
      <c r="BU56" s="1">
        <f t="shared" si="48"/>
        <v>17805.984985206418</v>
      </c>
      <c r="BV56" s="1">
        <f t="shared" si="49"/>
        <v>11449.248345487727</v>
      </c>
      <c r="BW56" s="1">
        <f t="shared" si="50"/>
        <v>27563.664757099537</v>
      </c>
      <c r="BX56" s="1">
        <f t="shared" si="51"/>
        <v>5478.7646108327435</v>
      </c>
      <c r="BY56" s="1">
        <f t="shared" si="52"/>
        <v>2739.3823054163718</v>
      </c>
      <c r="BZ56" s="1">
        <f t="shared" si="53"/>
        <v>9785.07359494728</v>
      </c>
      <c r="CA56" s="1">
        <f t="shared" si="54"/>
        <v>132266.14372887975</v>
      </c>
      <c r="CB56" s="1">
        <f t="shared" si="55"/>
        <v>95282.86279709119</v>
      </c>
      <c r="CC56" s="1">
        <f t="shared" si="56"/>
        <v>381777.7218979035</v>
      </c>
      <c r="CD56" s="1">
        <f t="shared" si="65"/>
        <v>1155781.1257287161</v>
      </c>
      <c r="CE56" s="1">
        <f t="shared" si="66"/>
        <v>577890.5628643581</v>
      </c>
      <c r="CF56" s="1">
        <f t="shared" si="67"/>
        <v>2679310.791462024</v>
      </c>
      <c r="CG56" t="s">
        <v>52</v>
      </c>
      <c r="CH56" s="3" t="s">
        <v>159</v>
      </c>
      <c r="CI56" s="1">
        <v>3876419</v>
      </c>
      <c r="CJ56" s="102">
        <v>4875.941</v>
      </c>
      <c r="CK56" s="1">
        <v>12937.87</v>
      </c>
      <c r="CL56" s="1">
        <f t="shared" si="57"/>
        <v>17813.811</v>
      </c>
      <c r="CM56" s="1">
        <v>4220.76996328044</v>
      </c>
      <c r="CN56" s="1">
        <v>8946.12704541523</v>
      </c>
      <c r="CO56" s="1">
        <f t="shared" si="58"/>
        <v>13166.89700869567</v>
      </c>
      <c r="CP56" s="1">
        <f t="shared" si="68"/>
        <v>4339.809254066093</v>
      </c>
      <c r="CQ56" s="1">
        <f t="shared" si="69"/>
        <v>2297.623528017394</v>
      </c>
      <c r="CR56" s="1">
        <f t="shared" si="70"/>
        <v>5998.838277161748</v>
      </c>
      <c r="CS56" s="1">
        <f t="shared" si="71"/>
        <v>1306.548304405731</v>
      </c>
      <c r="CT56" s="1">
        <f t="shared" si="72"/>
        <v>165.19058147417243</v>
      </c>
      <c r="CU56" s="1">
        <f t="shared" si="73"/>
        <v>2464.6944732658053</v>
      </c>
      <c r="CW56" s="211" t="s">
        <v>629</v>
      </c>
      <c r="CX56" s="219"/>
      <c r="CY56" s="219"/>
      <c r="CZ56" s="219"/>
      <c r="DA56" s="219"/>
      <c r="DB56" s="219"/>
      <c r="DC56" s="220"/>
    </row>
    <row r="57" spans="1:107" ht="12.75">
      <c r="A57" t="s">
        <v>53</v>
      </c>
      <c r="B57" s="1">
        <v>286374</v>
      </c>
      <c r="C57" s="121" t="s">
        <v>41</v>
      </c>
      <c r="D57" s="113">
        <v>16.4</v>
      </c>
      <c r="E57" s="111">
        <v>10.7</v>
      </c>
      <c r="F57" s="29">
        <v>63.3</v>
      </c>
      <c r="G57" s="116">
        <v>56</v>
      </c>
      <c r="H57" s="115">
        <v>14.7</v>
      </c>
      <c r="I57" s="1">
        <f t="shared" si="74"/>
        <v>46965.335999999996</v>
      </c>
      <c r="J57" s="1">
        <f t="shared" si="75"/>
        <v>30642.017999999996</v>
      </c>
      <c r="K57" s="1">
        <f t="shared" si="76"/>
        <v>181274.742</v>
      </c>
      <c r="L57" s="1">
        <f t="shared" si="77"/>
        <v>160369.44</v>
      </c>
      <c r="M57" s="1">
        <f t="shared" si="78"/>
        <v>42096.977999999996</v>
      </c>
      <c r="N57" s="12">
        <f t="shared" si="59"/>
        <v>-0.04392000000000003</v>
      </c>
      <c r="O57" s="12">
        <f t="shared" si="60"/>
        <v>0.007560000000000001</v>
      </c>
      <c r="P57" s="12">
        <f t="shared" si="61"/>
        <v>0.03219000000000002</v>
      </c>
      <c r="Q57" s="12">
        <f t="shared" si="62"/>
        <v>0.03056000000000001</v>
      </c>
      <c r="R57" s="12">
        <f t="shared" si="63"/>
        <v>0.020987999999999996</v>
      </c>
      <c r="S57" s="1">
        <f t="shared" si="15"/>
        <v>65987.20202184</v>
      </c>
      <c r="T57" s="2">
        <f t="shared" si="79"/>
        <v>0.23042316</v>
      </c>
      <c r="U57" s="1">
        <f t="shared" si="17"/>
        <v>7588.5282325116</v>
      </c>
      <c r="V57" s="1">
        <f t="shared" si="18"/>
        <v>4619.1041415288</v>
      </c>
      <c r="W57" s="1">
        <f t="shared" si="19"/>
        <v>2309.5520707644</v>
      </c>
      <c r="X57" s="1">
        <f t="shared" si="20"/>
        <v>10707.9232371804</v>
      </c>
      <c r="Y57" s="1">
        <f t="shared" si="21"/>
        <v>886.8679951735296</v>
      </c>
      <c r="Z57" s="1">
        <f t="shared" si="22"/>
        <v>443.4339975867648</v>
      </c>
      <c r="AA57" s="1">
        <f t="shared" si="23"/>
        <v>2055.921261538637</v>
      </c>
      <c r="AB57" s="1">
        <f t="shared" si="24"/>
        <v>18398.88952220378</v>
      </c>
      <c r="AC57" s="1">
        <f t="shared" si="25"/>
        <v>9199.44476110189</v>
      </c>
      <c r="AD57" s="1">
        <f t="shared" si="26"/>
        <v>42651.97116510876</v>
      </c>
      <c r="AE57" s="1">
        <f t="shared" si="27"/>
        <v>10890.050074341834</v>
      </c>
      <c r="AF57" s="1">
        <f t="shared" si="28"/>
        <v>5445.025037170917</v>
      </c>
      <c r="AG57" s="1">
        <f t="shared" si="29"/>
        <v>25245.116081428798</v>
      </c>
      <c r="AH57"/>
      <c r="AI57"/>
      <c r="AN57"/>
      <c r="AP57" t="s">
        <v>53</v>
      </c>
      <c r="AQ57" s="3" t="s">
        <v>159</v>
      </c>
      <c r="AR57" s="1">
        <v>286374</v>
      </c>
      <c r="AS57" s="1">
        <v>65987.20202184</v>
      </c>
      <c r="AT57" s="1">
        <v>32993.60101092</v>
      </c>
      <c r="AU57" s="1">
        <v>152970.33195971997</v>
      </c>
      <c r="AV57" s="1">
        <v>7588.5282325116</v>
      </c>
      <c r="AW57" s="1">
        <v>5278.9761617472</v>
      </c>
      <c r="AX57" s="1">
        <v>21775.7766672072</v>
      </c>
      <c r="AY57" s="1">
        <f t="shared" si="30"/>
        <v>1388.7006665496228</v>
      </c>
      <c r="AZ57" s="1">
        <f t="shared" si="31"/>
        <v>811.7788616382475</v>
      </c>
      <c r="BA57" s="1">
        <f t="shared" si="32"/>
        <v>1916.9624001050995</v>
      </c>
      <c r="BB57" s="1">
        <f t="shared" si="33"/>
        <v>440.13463748567284</v>
      </c>
      <c r="BC57" s="1">
        <f t="shared" si="34"/>
        <v>0</v>
      </c>
      <c r="BD57" s="1">
        <f t="shared" si="35"/>
        <v>1054.166470241935</v>
      </c>
      <c r="BE57" s="1">
        <f t="shared" si="64"/>
        <v>986.5086702265081</v>
      </c>
      <c r="BF57" s="1">
        <f t="shared" si="37"/>
        <v>634.3250749556447</v>
      </c>
      <c r="BG57" s="1">
        <f t="shared" si="38"/>
        <v>1527.1154215106346</v>
      </c>
      <c r="BH57" s="1">
        <f t="shared" si="39"/>
        <v>303.54112930046404</v>
      </c>
      <c r="BI57" s="1">
        <f t="shared" si="40"/>
        <v>151.77056465023202</v>
      </c>
      <c r="BJ57" s="1">
        <f t="shared" si="41"/>
        <v>542.1244569306288</v>
      </c>
      <c r="BL57" s="2">
        <v>0.83</v>
      </c>
      <c r="BM57" s="2">
        <v>0</v>
      </c>
      <c r="BO57" s="1">
        <f t="shared" si="42"/>
        <v>1388.7006665496228</v>
      </c>
      <c r="BP57" s="1">
        <f t="shared" si="43"/>
        <v>811.7788616382475</v>
      </c>
      <c r="BQ57" s="1">
        <f t="shared" si="44"/>
        <v>1916.9624001050995</v>
      </c>
      <c r="BR57" s="1">
        <f t="shared" si="45"/>
        <v>147.8852381951861</v>
      </c>
      <c r="BS57" s="1">
        <f t="shared" si="46"/>
        <v>0</v>
      </c>
      <c r="BT57" s="1">
        <f t="shared" si="47"/>
        <v>354.1999340012901</v>
      </c>
      <c r="BU57" s="1">
        <f t="shared" si="48"/>
        <v>986.5086702265081</v>
      </c>
      <c r="BV57" s="1">
        <f t="shared" si="49"/>
        <v>634.3250749556447</v>
      </c>
      <c r="BW57" s="1">
        <f t="shared" si="50"/>
        <v>1527.1154215106346</v>
      </c>
      <c r="BX57" s="1">
        <f t="shared" si="51"/>
        <v>303.54112930046404</v>
      </c>
      <c r="BY57" s="1">
        <f t="shared" si="52"/>
        <v>151.77056465023202</v>
      </c>
      <c r="BZ57" s="1">
        <f t="shared" si="53"/>
        <v>542.1244569306288</v>
      </c>
      <c r="CA57" s="1">
        <f t="shared" si="54"/>
        <v>7296.278833221114</v>
      </c>
      <c r="CB57" s="1">
        <f t="shared" si="55"/>
        <v>5278.9761617472</v>
      </c>
      <c r="CC57" s="1">
        <f t="shared" si="56"/>
        <v>21075.810130966554</v>
      </c>
      <c r="CD57" s="1">
        <f t="shared" si="65"/>
        <v>63796.42691471491</v>
      </c>
      <c r="CE57" s="1">
        <f t="shared" si="66"/>
        <v>31898.213457357455</v>
      </c>
      <c r="CF57" s="1">
        <f t="shared" si="67"/>
        <v>147891.71693865728</v>
      </c>
      <c r="CG57" t="s">
        <v>53</v>
      </c>
      <c r="CH57" s="3" t="s">
        <v>159</v>
      </c>
      <c r="CI57" s="1">
        <v>286374</v>
      </c>
      <c r="CJ57" s="102">
        <v>57.98089</v>
      </c>
      <c r="CK57" s="1">
        <v>235.8634</v>
      </c>
      <c r="CL57" s="1">
        <f t="shared" si="57"/>
        <v>293.84429</v>
      </c>
      <c r="CM57" s="1">
        <v>63.8257377822581</v>
      </c>
      <c r="CN57" s="1">
        <v>223.197124439873</v>
      </c>
      <c r="CO57" s="1">
        <f t="shared" si="58"/>
        <v>287.0228622221311</v>
      </c>
      <c r="CP57" s="1">
        <f t="shared" si="68"/>
        <v>94.60273538841442</v>
      </c>
      <c r="CQ57" s="1">
        <f t="shared" si="69"/>
        <v>50.085489457761874</v>
      </c>
      <c r="CR57" s="1">
        <f t="shared" si="70"/>
        <v>130.76761602840293</v>
      </c>
      <c r="CS57" s="1">
        <f t="shared" si="71"/>
        <v>23.873165105360137</v>
      </c>
      <c r="CT57" s="1">
        <f t="shared" si="72"/>
        <v>2.9720768502021415</v>
      </c>
      <c r="CU57" s="1">
        <f t="shared" si="73"/>
        <v>45.75765299756438</v>
      </c>
      <c r="CW57" s="211" t="s">
        <v>616</v>
      </c>
      <c r="CX57" s="219"/>
      <c r="CY57" s="219"/>
      <c r="CZ57" s="219"/>
      <c r="DA57" s="219"/>
      <c r="DB57" s="219"/>
      <c r="DC57" s="220"/>
    </row>
    <row r="58" spans="1:107" ht="12.75">
      <c r="A58" t="s">
        <v>54</v>
      </c>
      <c r="B58" s="1">
        <v>1830654</v>
      </c>
      <c r="C58" s="121" t="s">
        <v>41</v>
      </c>
      <c r="D58" s="113">
        <v>11.4</v>
      </c>
      <c r="E58" s="115">
        <v>4.8</v>
      </c>
      <c r="F58" s="115">
        <v>9.1</v>
      </c>
      <c r="G58" s="106">
        <v>99.4</v>
      </c>
      <c r="H58" s="115">
        <v>8.4</v>
      </c>
      <c r="I58" s="1">
        <f t="shared" si="74"/>
        <v>208694.556</v>
      </c>
      <c r="J58" s="1">
        <f t="shared" si="75"/>
        <v>87871.39199999999</v>
      </c>
      <c r="K58" s="1">
        <f t="shared" si="76"/>
        <v>166589.514</v>
      </c>
      <c r="L58" s="1">
        <f t="shared" si="77"/>
        <v>1819670.0760000004</v>
      </c>
      <c r="M58" s="1">
        <f t="shared" si="78"/>
        <v>153774.93600000002</v>
      </c>
      <c r="N58" s="12">
        <f t="shared" si="59"/>
        <v>-0.08392000000000001</v>
      </c>
      <c r="O58" s="12">
        <f t="shared" si="60"/>
        <v>-0.01604</v>
      </c>
      <c r="P58" s="12">
        <f t="shared" si="61"/>
        <v>-0.13041</v>
      </c>
      <c r="Q58" s="12">
        <f t="shared" si="62"/>
        <v>0.3777600000000001</v>
      </c>
      <c r="R58" s="12">
        <f t="shared" si="63"/>
        <v>-0.04138199999999999</v>
      </c>
      <c r="S58" s="1">
        <f t="shared" si="15"/>
        <v>445437.95323104004</v>
      </c>
      <c r="T58" s="2">
        <f t="shared" si="79"/>
        <v>0.24332176000000003</v>
      </c>
      <c r="U58" s="1">
        <f t="shared" si="17"/>
        <v>51225.364621569606</v>
      </c>
      <c r="V58" s="1">
        <f t="shared" si="18"/>
        <v>13638.419252027987</v>
      </c>
      <c r="W58" s="1">
        <f t="shared" si="19"/>
        <v>6819.209626013993</v>
      </c>
      <c r="X58" s="1">
        <f t="shared" si="20"/>
        <v>31616.335538792147</v>
      </c>
      <c r="Y58" s="1">
        <f t="shared" si="21"/>
        <v>3991.1240609501183</v>
      </c>
      <c r="Z58" s="1">
        <f t="shared" si="22"/>
        <v>1995.5620304750591</v>
      </c>
      <c r="AA58" s="1">
        <f t="shared" si="23"/>
        <v>9252.151232202548</v>
      </c>
      <c r="AB58" s="1">
        <f t="shared" si="24"/>
        <v>114757.16429237947</v>
      </c>
      <c r="AC58" s="1">
        <f t="shared" si="25"/>
        <v>57378.582146189736</v>
      </c>
      <c r="AD58" s="1">
        <f t="shared" si="26"/>
        <v>266027.9717686979</v>
      </c>
      <c r="AE58" s="1">
        <f t="shared" si="27"/>
        <v>67923.18982215387</v>
      </c>
      <c r="AF58" s="1">
        <f t="shared" si="28"/>
        <v>33961.594911076936</v>
      </c>
      <c r="AG58" s="1">
        <f t="shared" si="29"/>
        <v>157458.30367862943</v>
      </c>
      <c r="AH58"/>
      <c r="AI58"/>
      <c r="AN58"/>
      <c r="AP58" t="s">
        <v>54</v>
      </c>
      <c r="AQ58" s="3" t="s">
        <v>159</v>
      </c>
      <c r="AR58" s="1">
        <v>1830654</v>
      </c>
      <c r="AS58" s="1">
        <v>445437.95323104004</v>
      </c>
      <c r="AT58" s="1">
        <v>222718.97661552002</v>
      </c>
      <c r="AU58" s="1">
        <v>1032606.1643083201</v>
      </c>
      <c r="AV58" s="1">
        <v>51225.364621569606</v>
      </c>
      <c r="AW58" s="1">
        <v>35635.036258483204</v>
      </c>
      <c r="AX58" s="1">
        <v>146994.52456624323</v>
      </c>
      <c r="AY58" s="1">
        <f t="shared" si="30"/>
        <v>9374.241725747237</v>
      </c>
      <c r="AZ58" s="1">
        <f t="shared" si="31"/>
        <v>5479.806743202805</v>
      </c>
      <c r="BA58" s="1">
        <f t="shared" si="32"/>
        <v>12940.203278221486</v>
      </c>
      <c r="BB58" s="1">
        <f t="shared" si="33"/>
        <v>2971.071148051037</v>
      </c>
      <c r="BC58" s="1">
        <f t="shared" si="34"/>
        <v>0</v>
      </c>
      <c r="BD58" s="1">
        <f t="shared" si="35"/>
        <v>7116.012506697039</v>
      </c>
      <c r="BE58" s="1">
        <f t="shared" si="64"/>
        <v>6659.297400804049</v>
      </c>
      <c r="BF58" s="1">
        <f t="shared" si="37"/>
        <v>4281.928228717004</v>
      </c>
      <c r="BG58" s="1">
        <f t="shared" si="38"/>
        <v>10308.592376444669</v>
      </c>
      <c r="BH58" s="1">
        <f t="shared" si="39"/>
        <v>2049.0145848627844</v>
      </c>
      <c r="BI58" s="1">
        <f t="shared" si="40"/>
        <v>1024.5072924313922</v>
      </c>
      <c r="BJ58" s="1">
        <f t="shared" si="41"/>
        <v>3659.540048564933</v>
      </c>
      <c r="BL58" s="2">
        <v>0.97</v>
      </c>
      <c r="BM58" s="2">
        <v>0.97</v>
      </c>
      <c r="BO58" s="1">
        <f t="shared" si="42"/>
        <v>4100.293330841842</v>
      </c>
      <c r="BP58" s="1">
        <f t="shared" si="43"/>
        <v>2396.8674694769074</v>
      </c>
      <c r="BQ58" s="1">
        <f t="shared" si="44"/>
        <v>5660.044913894079</v>
      </c>
      <c r="BR58" s="1">
        <f t="shared" si="45"/>
        <v>665.5199371634321</v>
      </c>
      <c r="BS58" s="1">
        <f t="shared" si="46"/>
        <v>0</v>
      </c>
      <c r="BT58" s="1">
        <f t="shared" si="47"/>
        <v>1593.9868015001366</v>
      </c>
      <c r="BU58" s="1">
        <f t="shared" si="48"/>
        <v>6659.297400804049</v>
      </c>
      <c r="BV58" s="1">
        <f t="shared" si="49"/>
        <v>4281.928228717004</v>
      </c>
      <c r="BW58" s="1">
        <f t="shared" si="50"/>
        <v>10308.592376444669</v>
      </c>
      <c r="BX58" s="1">
        <f t="shared" si="51"/>
        <v>2049.0145848627844</v>
      </c>
      <c r="BY58" s="1">
        <f t="shared" si="52"/>
        <v>1024.5072924313922</v>
      </c>
      <c r="BZ58" s="1">
        <f t="shared" si="53"/>
        <v>3659.540048564933</v>
      </c>
      <c r="CA58" s="1">
        <f t="shared" si="54"/>
        <v>43645.8650157766</v>
      </c>
      <c r="CB58" s="1">
        <f t="shared" si="55"/>
        <v>32552.096984757307</v>
      </c>
      <c r="CC58" s="1">
        <f t="shared" si="56"/>
        <v>134192.3404967189</v>
      </c>
      <c r="CD58" s="1">
        <f t="shared" si="65"/>
        <v>397909.7236212881</v>
      </c>
      <c r="CE58" s="1">
        <f t="shared" si="66"/>
        <v>198954.86181064404</v>
      </c>
      <c r="CF58" s="1">
        <f t="shared" si="67"/>
        <v>922427.0865766223</v>
      </c>
      <c r="CG58" t="s">
        <v>54</v>
      </c>
      <c r="CH58" s="3" t="s">
        <v>159</v>
      </c>
      <c r="CI58" s="1">
        <v>1830654</v>
      </c>
      <c r="CJ58" s="102">
        <v>906.3998</v>
      </c>
      <c r="CK58" s="1">
        <v>6488.177</v>
      </c>
      <c r="CL58" s="1">
        <f t="shared" si="57"/>
        <v>7394.5768</v>
      </c>
      <c r="CM58" s="1">
        <v>681.630453112625</v>
      </c>
      <c r="CN58" s="1">
        <v>3462.95031411382</v>
      </c>
      <c r="CO58" s="1">
        <f t="shared" si="58"/>
        <v>4144.580767226445</v>
      </c>
      <c r="CP58" s="1">
        <f t="shared" si="68"/>
        <v>733.5331678187785</v>
      </c>
      <c r="CQ58" s="1">
        <f t="shared" si="69"/>
        <v>350.7776553129531</v>
      </c>
      <c r="CR58" s="1">
        <f t="shared" si="70"/>
        <v>1110.599123632699</v>
      </c>
      <c r="CS58" s="1">
        <f t="shared" si="71"/>
        <v>236.3707645796862</v>
      </c>
      <c r="CT58" s="1">
        <f t="shared" si="72"/>
        <v>28.710086595516696</v>
      </c>
      <c r="CU58" s="1">
        <f t="shared" si="73"/>
        <v>465.2121803732837</v>
      </c>
      <c r="CW58" s="211" t="s">
        <v>617</v>
      </c>
      <c r="CX58" s="219"/>
      <c r="CY58" s="219"/>
      <c r="CZ58" s="219"/>
      <c r="DA58" s="219"/>
      <c r="DB58" s="219"/>
      <c r="DC58" s="220"/>
    </row>
    <row r="59" spans="1:107" ht="12.75">
      <c r="A59" t="s">
        <v>55</v>
      </c>
      <c r="B59" s="1">
        <v>5041132</v>
      </c>
      <c r="C59" s="121" t="s">
        <v>41</v>
      </c>
      <c r="D59" s="113">
        <v>9</v>
      </c>
      <c r="E59" s="29">
        <v>8.8</v>
      </c>
      <c r="F59" s="29">
        <v>89.6</v>
      </c>
      <c r="G59" s="113">
        <v>15</v>
      </c>
      <c r="H59" s="106">
        <v>10</v>
      </c>
      <c r="I59" s="1">
        <f t="shared" si="74"/>
        <v>453701.88</v>
      </c>
      <c r="J59" s="1">
        <f t="shared" si="75"/>
        <v>443619.61600000004</v>
      </c>
      <c r="K59" s="1">
        <f t="shared" si="76"/>
        <v>4516854.272</v>
      </c>
      <c r="L59" s="1">
        <f t="shared" si="77"/>
        <v>756169.8</v>
      </c>
      <c r="M59" s="1">
        <f t="shared" si="78"/>
        <v>504113.2</v>
      </c>
      <c r="N59" s="12">
        <f t="shared" si="59"/>
        <v>-0.10312000000000002</v>
      </c>
      <c r="O59" s="12">
        <f t="shared" si="60"/>
        <v>-3.99999999999956E-05</v>
      </c>
      <c r="P59" s="12">
        <f t="shared" si="61"/>
        <v>0.11108999999999998</v>
      </c>
      <c r="Q59" s="12">
        <f t="shared" si="62"/>
        <v>-0.29744000000000004</v>
      </c>
      <c r="R59" s="12">
        <f t="shared" si="63"/>
        <v>-0.02554199999999999</v>
      </c>
      <c r="S59" s="1">
        <f t="shared" si="15"/>
        <v>759640.92184992</v>
      </c>
      <c r="T59" s="2">
        <f t="shared" si="79"/>
        <v>0.15068856</v>
      </c>
      <c r="U59" s="1">
        <f t="shared" si="17"/>
        <v>87358.7060127408</v>
      </c>
      <c r="V59" s="1">
        <f t="shared" si="18"/>
        <v>33436.35481614608</v>
      </c>
      <c r="W59" s="1">
        <f t="shared" si="19"/>
        <v>16718.17740807304</v>
      </c>
      <c r="X59" s="1">
        <f t="shared" si="20"/>
        <v>77511.54980106594</v>
      </c>
      <c r="Y59" s="1">
        <f t="shared" si="21"/>
        <v>14342.02060452649</v>
      </c>
      <c r="Z59" s="1">
        <f t="shared" si="22"/>
        <v>7171.010302263245</v>
      </c>
      <c r="AA59" s="1">
        <f t="shared" si="23"/>
        <v>33247.411401402314</v>
      </c>
      <c r="AB59" s="1">
        <f t="shared" si="24"/>
        <v>203481.9144009769</v>
      </c>
      <c r="AC59" s="1">
        <f t="shared" si="25"/>
        <v>101740.95720048845</v>
      </c>
      <c r="AD59" s="1">
        <f t="shared" si="26"/>
        <v>471708.0742931738</v>
      </c>
      <c r="AE59" s="1">
        <f t="shared" si="27"/>
        <v>120438.1511381649</v>
      </c>
      <c r="AF59" s="1">
        <f t="shared" si="28"/>
        <v>60219.07556908245</v>
      </c>
      <c r="AG59" s="1">
        <f t="shared" si="29"/>
        <v>279197.5321839278</v>
      </c>
      <c r="AH59"/>
      <c r="AI59"/>
      <c r="AN59"/>
      <c r="AP59" t="s">
        <v>55</v>
      </c>
      <c r="AQ59" s="3" t="s">
        <v>159</v>
      </c>
      <c r="AR59" s="1">
        <v>5041132</v>
      </c>
      <c r="AS59" s="1">
        <v>759640.92184992</v>
      </c>
      <c r="AT59" s="1">
        <v>379820.46092496</v>
      </c>
      <c r="AU59" s="1">
        <v>1760985.77337936</v>
      </c>
      <c r="AV59" s="1">
        <v>87358.7060127408</v>
      </c>
      <c r="AW59" s="1">
        <v>60771.2737479936</v>
      </c>
      <c r="AX59" s="1">
        <v>250681.5042104736</v>
      </c>
      <c r="AY59" s="1">
        <f t="shared" si="30"/>
        <v>15986.643200331568</v>
      </c>
      <c r="AZ59" s="1">
        <f t="shared" si="31"/>
        <v>9345.15214918582</v>
      </c>
      <c r="BA59" s="1">
        <f t="shared" si="32"/>
        <v>22067.962273737696</v>
      </c>
      <c r="BB59" s="1">
        <f t="shared" si="33"/>
        <v>5066.804948738967</v>
      </c>
      <c r="BC59" s="1">
        <f t="shared" si="34"/>
        <v>0</v>
      </c>
      <c r="BD59" s="1">
        <f t="shared" si="35"/>
        <v>12135.504532724699</v>
      </c>
      <c r="BE59" s="1">
        <f t="shared" si="64"/>
        <v>11356.631781656304</v>
      </c>
      <c r="BF59" s="1">
        <f t="shared" si="37"/>
        <v>7302.314235605004</v>
      </c>
      <c r="BG59" s="1">
        <f t="shared" si="38"/>
        <v>17580.06599800396</v>
      </c>
      <c r="BH59" s="1">
        <f t="shared" si="39"/>
        <v>3494.3482405096324</v>
      </c>
      <c r="BI59" s="1">
        <f t="shared" si="40"/>
        <v>1747.1741202548162</v>
      </c>
      <c r="BJ59" s="1">
        <f t="shared" si="41"/>
        <v>6240.905957550203</v>
      </c>
      <c r="BL59" s="2">
        <v>0.66</v>
      </c>
      <c r="BM59" s="2">
        <v>0.64</v>
      </c>
      <c r="BO59" s="1">
        <f t="shared" si="42"/>
        <v>10052.40124436849</v>
      </c>
      <c r="BP59" s="1">
        <f t="shared" si="43"/>
        <v>5876.231671408044</v>
      </c>
      <c r="BQ59" s="1">
        <f t="shared" si="44"/>
        <v>13876.334677726263</v>
      </c>
      <c r="BR59" s="1">
        <f t="shared" si="45"/>
        <v>2391.5319358047923</v>
      </c>
      <c r="BS59" s="1">
        <f t="shared" si="46"/>
        <v>0</v>
      </c>
      <c r="BT59" s="1">
        <f t="shared" si="47"/>
        <v>5727.958139446057</v>
      </c>
      <c r="BU59" s="1">
        <f t="shared" si="48"/>
        <v>11356.631781656304</v>
      </c>
      <c r="BV59" s="1">
        <f t="shared" si="49"/>
        <v>7302.314235605004</v>
      </c>
      <c r="BW59" s="1">
        <f t="shared" si="50"/>
        <v>17580.06599800396</v>
      </c>
      <c r="BX59" s="1">
        <f t="shared" si="51"/>
        <v>3494.3482405096324</v>
      </c>
      <c r="BY59" s="1">
        <f t="shared" si="52"/>
        <v>1747.1741202548162</v>
      </c>
      <c r="BZ59" s="1">
        <f t="shared" si="53"/>
        <v>6240.905957550203</v>
      </c>
      <c r="CA59" s="1">
        <f t="shared" si="54"/>
        <v>78749.19104384354</v>
      </c>
      <c r="CB59" s="1">
        <f t="shared" si="55"/>
        <v>57302.35327021582</v>
      </c>
      <c r="CC59" s="1">
        <f t="shared" si="56"/>
        <v>236082.3302211835</v>
      </c>
      <c r="CD59" s="1">
        <f t="shared" si="65"/>
        <v>705554.4882142057</v>
      </c>
      <c r="CE59" s="1">
        <f t="shared" si="66"/>
        <v>352777.24410710286</v>
      </c>
      <c r="CF59" s="1">
        <f t="shared" si="67"/>
        <v>1635603.5863147497</v>
      </c>
      <c r="CG59" t="s">
        <v>55</v>
      </c>
      <c r="CH59" s="3" t="s">
        <v>159</v>
      </c>
      <c r="CI59" s="1">
        <v>5041132</v>
      </c>
      <c r="CJ59" s="102">
        <v>1491.485</v>
      </c>
      <c r="CK59" s="1">
        <v>5225.661</v>
      </c>
      <c r="CL59" s="1">
        <f t="shared" si="57"/>
        <v>6717.146</v>
      </c>
      <c r="CM59" s="1">
        <v>1613.12500374111</v>
      </c>
      <c r="CN59" s="1">
        <v>3542.98761550888</v>
      </c>
      <c r="CO59" s="1">
        <f t="shared" si="58"/>
        <v>5156.1126192499905</v>
      </c>
      <c r="CP59" s="1">
        <f t="shared" si="68"/>
        <v>1217.5857208297941</v>
      </c>
      <c r="CQ59" s="1">
        <f t="shared" si="69"/>
        <v>604.9423270864022</v>
      </c>
      <c r="CR59" s="1">
        <f t="shared" si="70"/>
        <v>1777.7867651403699</v>
      </c>
      <c r="CS59" s="1">
        <f t="shared" si="71"/>
        <v>582.8252279775172</v>
      </c>
      <c r="CT59" s="1">
        <f t="shared" si="72"/>
        <v>74.68824052800035</v>
      </c>
      <c r="CU59" s="1">
        <f t="shared" si="73"/>
        <v>1084.714277581536</v>
      </c>
      <c r="CW59" s="264" t="s">
        <v>618</v>
      </c>
      <c r="CX59" s="219"/>
      <c r="CY59" s="219"/>
      <c r="CZ59" s="219"/>
      <c r="DA59" s="219"/>
      <c r="DB59" s="219"/>
      <c r="DC59" s="220"/>
    </row>
    <row r="60" spans="1:107" ht="12.75">
      <c r="A60" t="s">
        <v>56</v>
      </c>
      <c r="B60" s="1">
        <v>156715</v>
      </c>
      <c r="C60" s="121" t="s">
        <v>41</v>
      </c>
      <c r="D60" s="113">
        <v>4.7</v>
      </c>
      <c r="E60" s="29">
        <v>7.1</v>
      </c>
      <c r="F60" s="29">
        <v>57</v>
      </c>
      <c r="G60" s="106">
        <v>46</v>
      </c>
      <c r="H60" s="116">
        <v>17.3</v>
      </c>
      <c r="I60" s="1">
        <f t="shared" si="74"/>
        <v>7365.605</v>
      </c>
      <c r="J60" s="1">
        <f t="shared" si="75"/>
        <v>11126.765</v>
      </c>
      <c r="K60" s="1">
        <f t="shared" si="76"/>
        <v>89327.55</v>
      </c>
      <c r="L60" s="1">
        <f t="shared" si="77"/>
        <v>72088.9</v>
      </c>
      <c r="M60" s="1">
        <f t="shared" si="78"/>
        <v>27111.695</v>
      </c>
      <c r="N60" s="12">
        <f t="shared" si="59"/>
        <v>-0.13752</v>
      </c>
      <c r="O60" s="12">
        <f t="shared" si="60"/>
        <v>-0.006840000000000002</v>
      </c>
      <c r="P60" s="12">
        <f t="shared" si="61"/>
        <v>0.013290000000000001</v>
      </c>
      <c r="Q60" s="12">
        <f t="shared" si="62"/>
        <v>-0.04944000000000002</v>
      </c>
      <c r="R60" s="12">
        <f t="shared" si="63"/>
        <v>0.04672800000000002</v>
      </c>
      <c r="S60" s="1">
        <f t="shared" si="15"/>
        <v>29864.8578514</v>
      </c>
      <c r="T60" s="2">
        <f t="shared" si="79"/>
        <v>0.19056796</v>
      </c>
      <c r="U60" s="1">
        <f t="shared" si="17"/>
        <v>3434.458652911</v>
      </c>
      <c r="V60" s="1">
        <f t="shared" si="18"/>
        <v>2090.540049598</v>
      </c>
      <c r="W60" s="1">
        <f t="shared" si="19"/>
        <v>1045.270024799</v>
      </c>
      <c r="X60" s="1">
        <f t="shared" si="20"/>
        <v>4846.251933159001</v>
      </c>
      <c r="Y60" s="1">
        <f t="shared" si="21"/>
        <v>344.0431624481279</v>
      </c>
      <c r="Z60" s="1">
        <f t="shared" si="22"/>
        <v>172.02158122406394</v>
      </c>
      <c r="AA60" s="1">
        <f t="shared" si="23"/>
        <v>797.554603857024</v>
      </c>
      <c r="AB60" s="1">
        <f t="shared" si="24"/>
        <v>8306.401314189121</v>
      </c>
      <c r="AC60" s="1">
        <f t="shared" si="25"/>
        <v>4153.2006570945605</v>
      </c>
      <c r="AD60" s="1">
        <f t="shared" si="26"/>
        <v>19255.748501074784</v>
      </c>
      <c r="AE60" s="1">
        <f t="shared" si="27"/>
        <v>4916.44488325965</v>
      </c>
      <c r="AF60" s="1">
        <f t="shared" si="28"/>
        <v>2458.222441629825</v>
      </c>
      <c r="AG60" s="1">
        <f t="shared" si="29"/>
        <v>11397.213138465553</v>
      </c>
      <c r="AH60"/>
      <c r="AI60"/>
      <c r="AJ60" s="225" t="s">
        <v>631</v>
      </c>
      <c r="AK60" s="189"/>
      <c r="AL60" s="189"/>
      <c r="AM60" s="197"/>
      <c r="AN60"/>
      <c r="AP60" t="s">
        <v>56</v>
      </c>
      <c r="AQ60" s="3" t="s">
        <v>159</v>
      </c>
      <c r="AR60" s="1">
        <v>156715</v>
      </c>
      <c r="AS60" s="1">
        <v>29864.8578514</v>
      </c>
      <c r="AT60" s="1">
        <v>14932.4289257</v>
      </c>
      <c r="AU60" s="1">
        <v>69232.17047370001</v>
      </c>
      <c r="AV60" s="1">
        <v>3434.458652911</v>
      </c>
      <c r="AW60" s="1">
        <v>2389.188628112</v>
      </c>
      <c r="AX60" s="1">
        <v>9855.403090962</v>
      </c>
      <c r="AY60" s="1">
        <f t="shared" si="30"/>
        <v>628.505933482713</v>
      </c>
      <c r="AZ60" s="1">
        <f t="shared" si="31"/>
        <v>367.3994284766547</v>
      </c>
      <c r="BA60" s="1">
        <f t="shared" si="32"/>
        <v>867.589590579537</v>
      </c>
      <c r="BB60" s="1">
        <f t="shared" si="33"/>
        <v>199.198601868838</v>
      </c>
      <c r="BC60" s="1">
        <f t="shared" si="34"/>
        <v>0</v>
      </c>
      <c r="BD60" s="1">
        <f t="shared" si="35"/>
        <v>477.10057133605386</v>
      </c>
      <c r="BE60" s="1">
        <f t="shared" si="64"/>
        <v>446.47962487843006</v>
      </c>
      <c r="BF60" s="1">
        <f t="shared" si="37"/>
        <v>287.0863987968305</v>
      </c>
      <c r="BG60" s="1">
        <f t="shared" si="38"/>
        <v>691.1504593118098</v>
      </c>
      <c r="BH60" s="1">
        <f t="shared" si="39"/>
        <v>137.37834611644</v>
      </c>
      <c r="BI60" s="1">
        <f t="shared" si="40"/>
        <v>68.68917305822</v>
      </c>
      <c r="BJ60" s="1">
        <f t="shared" si="41"/>
        <v>245.35772616396187</v>
      </c>
      <c r="BL60" s="2">
        <v>0.89</v>
      </c>
      <c r="BM60" s="2">
        <v>0</v>
      </c>
      <c r="BO60" s="1">
        <f t="shared" si="42"/>
        <v>628.505933482713</v>
      </c>
      <c r="BP60" s="1">
        <f t="shared" si="43"/>
        <v>367.3994284766547</v>
      </c>
      <c r="BQ60" s="1">
        <f t="shared" si="44"/>
        <v>867.589590579537</v>
      </c>
      <c r="BR60" s="1">
        <f t="shared" si="45"/>
        <v>57.36919733822535</v>
      </c>
      <c r="BS60" s="1">
        <f t="shared" si="46"/>
        <v>0</v>
      </c>
      <c r="BT60" s="1">
        <f t="shared" si="47"/>
        <v>137.40496454478347</v>
      </c>
      <c r="BU60" s="1">
        <f t="shared" si="48"/>
        <v>446.47962487843006</v>
      </c>
      <c r="BV60" s="1">
        <f t="shared" si="49"/>
        <v>287.0863987968305</v>
      </c>
      <c r="BW60" s="1">
        <f t="shared" si="50"/>
        <v>691.1504593118098</v>
      </c>
      <c r="BX60" s="1">
        <f t="shared" si="51"/>
        <v>137.37834611644</v>
      </c>
      <c r="BY60" s="1">
        <f t="shared" si="52"/>
        <v>68.68917305822</v>
      </c>
      <c r="BZ60" s="1">
        <f t="shared" si="53"/>
        <v>245.35772616396187</v>
      </c>
      <c r="CA60" s="1">
        <f t="shared" si="54"/>
        <v>3292.6292483803877</v>
      </c>
      <c r="CB60" s="1">
        <f t="shared" si="55"/>
        <v>2389.188628112</v>
      </c>
      <c r="CC60" s="1">
        <f t="shared" si="56"/>
        <v>9515.707484170729</v>
      </c>
      <c r="CD60" s="1">
        <f t="shared" si="65"/>
        <v>28801.66891189016</v>
      </c>
      <c r="CE60" s="1">
        <f t="shared" si="66"/>
        <v>14400.83445594508</v>
      </c>
      <c r="CF60" s="1">
        <f t="shared" si="67"/>
        <v>66767.50520483628</v>
      </c>
      <c r="CG60" t="s">
        <v>56</v>
      </c>
      <c r="CH60" s="3" t="s">
        <v>159</v>
      </c>
      <c r="CI60" s="1">
        <v>156715</v>
      </c>
      <c r="CJ60" s="102">
        <v>32.78764</v>
      </c>
      <c r="CK60" s="1">
        <v>332.3492</v>
      </c>
      <c r="CL60" s="1">
        <f t="shared" si="57"/>
        <v>365.13684</v>
      </c>
      <c r="CM60" s="1">
        <v>53.3680538172043</v>
      </c>
      <c r="CN60" s="1">
        <v>417.589249185085</v>
      </c>
      <c r="CO60" s="1">
        <f t="shared" si="58"/>
        <v>470.95730300228934</v>
      </c>
      <c r="CP60" s="1">
        <f t="shared" si="68"/>
        <v>155.22752706955455</v>
      </c>
      <c r="CQ60" s="1">
        <f t="shared" si="69"/>
        <v>82.18204937389949</v>
      </c>
      <c r="CR60" s="1">
        <f t="shared" si="70"/>
        <v>214.56814724784303</v>
      </c>
      <c r="CS60" s="1">
        <f t="shared" si="71"/>
        <v>33.97969820735115</v>
      </c>
      <c r="CT60" s="1">
        <f t="shared" si="72"/>
        <v>4.1862118400624695</v>
      </c>
      <c r="CU60" s="1">
        <f t="shared" si="73"/>
        <v>65.85476631451948</v>
      </c>
      <c r="CW60" s="211"/>
      <c r="CX60" s="219"/>
      <c r="CY60" s="219"/>
      <c r="CZ60" s="219"/>
      <c r="DA60" s="219"/>
      <c r="DB60" s="219"/>
      <c r="DC60" s="220"/>
    </row>
    <row r="61" spans="1:107" ht="12.75">
      <c r="A61" t="s">
        <v>57</v>
      </c>
      <c r="B61" s="1">
        <v>6465275</v>
      </c>
      <c r="C61" s="121" t="s">
        <v>41</v>
      </c>
      <c r="D61" s="113">
        <v>15.8</v>
      </c>
      <c r="E61" s="111">
        <v>3.9</v>
      </c>
      <c r="F61" s="29">
        <v>26.9</v>
      </c>
      <c r="G61" s="106">
        <v>98</v>
      </c>
      <c r="H61" s="115">
        <v>17.3</v>
      </c>
      <c r="I61" s="1">
        <f t="shared" si="74"/>
        <v>1021513.45</v>
      </c>
      <c r="J61" s="1">
        <f t="shared" si="75"/>
        <v>252145.725</v>
      </c>
      <c r="K61" s="1">
        <f t="shared" si="76"/>
        <v>1739158.975</v>
      </c>
      <c r="L61" s="1">
        <f t="shared" si="77"/>
        <v>6335969.5</v>
      </c>
      <c r="M61" s="1">
        <f t="shared" si="78"/>
        <v>1118492.575</v>
      </c>
      <c r="N61" s="12">
        <f t="shared" si="59"/>
        <v>-0.04872000000000001</v>
      </c>
      <c r="O61" s="12">
        <f t="shared" si="60"/>
        <v>-0.01964</v>
      </c>
      <c r="P61" s="12">
        <f t="shared" si="61"/>
        <v>-0.07701</v>
      </c>
      <c r="Q61" s="12">
        <f t="shared" si="62"/>
        <v>0.36656</v>
      </c>
      <c r="R61" s="12">
        <f t="shared" si="63"/>
        <v>0.04672800000000002</v>
      </c>
      <c r="S61" s="1">
        <f t="shared" si="15"/>
        <v>1803436.4804390003</v>
      </c>
      <c r="T61" s="2">
        <f t="shared" si="79"/>
        <v>0.27894196000000004</v>
      </c>
      <c r="U61" s="1">
        <f t="shared" si="17"/>
        <v>207395.19525048503</v>
      </c>
      <c r="V61" s="1">
        <f t="shared" si="18"/>
        <v>126240.55363073004</v>
      </c>
      <c r="W61" s="1">
        <f t="shared" si="19"/>
        <v>63120.27681536502</v>
      </c>
      <c r="X61" s="1">
        <f t="shared" si="20"/>
        <v>292648.55614396505</v>
      </c>
      <c r="Y61" s="1">
        <f t="shared" si="21"/>
        <v>25969.485318321596</v>
      </c>
      <c r="Z61" s="1">
        <f t="shared" si="22"/>
        <v>12984.742659160798</v>
      </c>
      <c r="AA61" s="1">
        <f t="shared" si="23"/>
        <v>60201.988692472805</v>
      </c>
      <c r="AB61" s="1">
        <f t="shared" si="24"/>
        <v>503467.5263679322</v>
      </c>
      <c r="AC61" s="1">
        <f t="shared" si="25"/>
        <v>251733.7631839661</v>
      </c>
      <c r="AD61" s="1">
        <f t="shared" si="26"/>
        <v>1167129.2656711156</v>
      </c>
      <c r="AE61" s="1">
        <f t="shared" si="27"/>
        <v>297995.5157801873</v>
      </c>
      <c r="AF61" s="1">
        <f t="shared" si="28"/>
        <v>148997.75789009366</v>
      </c>
      <c r="AG61" s="1">
        <f t="shared" si="29"/>
        <v>690807.7865813433</v>
      </c>
      <c r="AH61"/>
      <c r="AI61"/>
      <c r="AJ61" s="195" t="s">
        <v>637</v>
      </c>
      <c r="AK61" s="191"/>
      <c r="AL61" s="191"/>
      <c r="AM61" s="198"/>
      <c r="AN61"/>
      <c r="AP61" t="s">
        <v>57</v>
      </c>
      <c r="AQ61" s="3" t="s">
        <v>159</v>
      </c>
      <c r="AR61" s="1">
        <v>6465275</v>
      </c>
      <c r="AS61" s="1">
        <v>1803436.4804390003</v>
      </c>
      <c r="AT61" s="1">
        <v>901718.2402195001</v>
      </c>
      <c r="AU61" s="1">
        <v>4180693.6591995005</v>
      </c>
      <c r="AV61" s="1">
        <v>207395.19525048503</v>
      </c>
      <c r="AW61" s="1">
        <v>144274.91843512002</v>
      </c>
      <c r="AX61" s="1">
        <v>595134.0385448701</v>
      </c>
      <c r="AY61" s="1">
        <f t="shared" si="30"/>
        <v>37953.32073083876</v>
      </c>
      <c r="AZ61" s="1">
        <f t="shared" si="31"/>
        <v>22185.993166419103</v>
      </c>
      <c r="BA61" s="1">
        <f t="shared" si="32"/>
        <v>52390.76393684982</v>
      </c>
      <c r="BB61" s="1">
        <f t="shared" si="33"/>
        <v>12028.921324528133</v>
      </c>
      <c r="BC61" s="1">
        <f t="shared" si="34"/>
        <v>0</v>
      </c>
      <c r="BD61" s="1">
        <f t="shared" si="35"/>
        <v>28810.46946437733</v>
      </c>
      <c r="BE61" s="1">
        <f t="shared" si="64"/>
        <v>26961.375382563056</v>
      </c>
      <c r="BF61" s="1">
        <f t="shared" si="37"/>
        <v>17336.164370988045</v>
      </c>
      <c r="BG61" s="1">
        <f t="shared" si="38"/>
        <v>41736.20909220761</v>
      </c>
      <c r="BH61" s="1">
        <f t="shared" si="39"/>
        <v>8295.807810019402</v>
      </c>
      <c r="BI61" s="1">
        <f t="shared" si="40"/>
        <v>4147.903905009701</v>
      </c>
      <c r="BJ61" s="1">
        <f t="shared" si="41"/>
        <v>14816.312748694652</v>
      </c>
      <c r="BL61" s="2">
        <v>0.8</v>
      </c>
      <c r="BM61" s="2">
        <v>0</v>
      </c>
      <c r="BO61" s="1">
        <f t="shared" si="42"/>
        <v>37953.32073083876</v>
      </c>
      <c r="BP61" s="1">
        <f t="shared" si="43"/>
        <v>22185.993166419103</v>
      </c>
      <c r="BQ61" s="1">
        <f t="shared" si="44"/>
        <v>52390.76393684982</v>
      </c>
      <c r="BR61" s="1">
        <f t="shared" si="45"/>
        <v>4330.411676830126</v>
      </c>
      <c r="BS61" s="1">
        <f t="shared" si="46"/>
        <v>0</v>
      </c>
      <c r="BT61" s="1">
        <f t="shared" si="47"/>
        <v>10371.769007175837</v>
      </c>
      <c r="BU61" s="1">
        <f t="shared" si="48"/>
        <v>26961.375382563056</v>
      </c>
      <c r="BV61" s="1">
        <f t="shared" si="49"/>
        <v>17336.164370988045</v>
      </c>
      <c r="BW61" s="1">
        <f t="shared" si="50"/>
        <v>41736.20909220761</v>
      </c>
      <c r="BX61" s="1">
        <f t="shared" si="51"/>
        <v>8295.807810019402</v>
      </c>
      <c r="BY61" s="1">
        <f t="shared" si="52"/>
        <v>4147.903905009701</v>
      </c>
      <c r="BZ61" s="1">
        <f t="shared" si="53"/>
        <v>14816.312748694652</v>
      </c>
      <c r="CA61" s="1">
        <f t="shared" si="54"/>
        <v>199696.68560278704</v>
      </c>
      <c r="CB61" s="1">
        <f t="shared" si="55"/>
        <v>144274.91843512002</v>
      </c>
      <c r="CC61" s="1">
        <f t="shared" si="56"/>
        <v>576695.3380876686</v>
      </c>
      <c r="CD61" s="1">
        <f t="shared" si="65"/>
        <v>1745726.5130649523</v>
      </c>
      <c r="CE61" s="1">
        <f t="shared" si="66"/>
        <v>872863.2565324762</v>
      </c>
      <c r="CF61" s="1">
        <f t="shared" si="67"/>
        <v>4046911.4621051163</v>
      </c>
      <c r="CG61" t="s">
        <v>57</v>
      </c>
      <c r="CH61" s="3" t="s">
        <v>159</v>
      </c>
      <c r="CI61" s="1">
        <v>6465275</v>
      </c>
      <c r="CJ61" s="102">
        <v>1928.19</v>
      </c>
      <c r="CK61" s="1">
        <v>22149.93</v>
      </c>
      <c r="CL61" s="1">
        <f t="shared" si="57"/>
        <v>24078.12</v>
      </c>
      <c r="CM61" s="1">
        <v>2111.99432975149</v>
      </c>
      <c r="CN61" s="1">
        <v>19069.1874802557</v>
      </c>
      <c r="CO61" s="1">
        <f t="shared" si="58"/>
        <v>21181.18181000719</v>
      </c>
      <c r="CP61" s="1">
        <f t="shared" si="68"/>
        <v>6981.3175245783705</v>
      </c>
      <c r="CQ61" s="1">
        <f t="shared" si="69"/>
        <v>3696.1162258462546</v>
      </c>
      <c r="CR61" s="1">
        <f t="shared" si="70"/>
        <v>9650.146432639276</v>
      </c>
      <c r="CS61" s="1">
        <f t="shared" si="71"/>
        <v>1876.438684127887</v>
      </c>
      <c r="CT61" s="1">
        <f t="shared" si="72"/>
        <v>234.82041767114606</v>
      </c>
      <c r="CU61" s="1">
        <f t="shared" si="73"/>
        <v>3577.1996740791874</v>
      </c>
      <c r="CW61" s="211"/>
      <c r="CX61" s="219"/>
      <c r="CY61" s="219"/>
      <c r="CZ61" s="219"/>
      <c r="DA61" s="219"/>
      <c r="DB61" s="219"/>
      <c r="DC61" s="220"/>
    </row>
    <row r="62" spans="1:107" ht="12.75">
      <c r="A62" t="s">
        <v>58</v>
      </c>
      <c r="B62" s="1">
        <v>8009544</v>
      </c>
      <c r="C62" s="121" t="s">
        <v>41</v>
      </c>
      <c r="D62" s="115">
        <v>15.6</v>
      </c>
      <c r="E62" s="29">
        <v>3.8</v>
      </c>
      <c r="F62" s="29">
        <v>35.6</v>
      </c>
      <c r="G62" s="106">
        <v>97.6</v>
      </c>
      <c r="H62" s="115">
        <v>15.1</v>
      </c>
      <c r="I62" s="1">
        <f t="shared" si="74"/>
        <v>1249488.8639999998</v>
      </c>
      <c r="J62" s="1">
        <f t="shared" si="75"/>
        <v>304362.672</v>
      </c>
      <c r="K62" s="1">
        <f t="shared" si="76"/>
        <v>2851397.6640000003</v>
      </c>
      <c r="L62" s="1">
        <f t="shared" si="77"/>
        <v>7817314.944</v>
      </c>
      <c r="M62" s="1">
        <f t="shared" si="78"/>
        <v>1209441.1439999999</v>
      </c>
      <c r="N62" s="12">
        <f t="shared" si="59"/>
        <v>-0.05032000000000001</v>
      </c>
      <c r="O62" s="12">
        <f t="shared" si="60"/>
        <v>-0.020040000000000002</v>
      </c>
      <c r="P62" s="12">
        <f t="shared" si="61"/>
        <v>-0.05090999999999997</v>
      </c>
      <c r="Q62" s="12">
        <f t="shared" si="62"/>
        <v>0.36335999999999996</v>
      </c>
      <c r="R62" s="12">
        <f t="shared" si="63"/>
        <v>0.024948</v>
      </c>
      <c r="S62" s="1">
        <f t="shared" si="15"/>
        <v>2232647.25434784</v>
      </c>
      <c r="T62" s="2">
        <f t="shared" si="79"/>
        <v>0.27874836</v>
      </c>
      <c r="U62" s="1">
        <f t="shared" si="17"/>
        <v>256754.4342500016</v>
      </c>
      <c r="V62" s="1">
        <f t="shared" si="18"/>
        <v>156285.3078043488</v>
      </c>
      <c r="W62" s="1">
        <f t="shared" si="19"/>
        <v>78142.6539021744</v>
      </c>
      <c r="X62" s="1">
        <f t="shared" si="20"/>
        <v>362297.7590009904</v>
      </c>
      <c r="Y62" s="1">
        <f t="shared" si="21"/>
        <v>24291.20212730449</v>
      </c>
      <c r="Z62" s="1">
        <f t="shared" si="22"/>
        <v>12145.601063652244</v>
      </c>
      <c r="AA62" s="1">
        <f t="shared" si="23"/>
        <v>56311.42311329677</v>
      </c>
      <c r="AB62" s="1">
        <f t="shared" si="24"/>
        <v>620457.6731131143</v>
      </c>
      <c r="AC62" s="1">
        <f t="shared" si="25"/>
        <v>310228.83655655716</v>
      </c>
      <c r="AD62" s="1">
        <f t="shared" si="26"/>
        <v>1438333.6967622198</v>
      </c>
      <c r="AE62" s="1">
        <f t="shared" si="27"/>
        <v>367240.377255231</v>
      </c>
      <c r="AF62" s="1">
        <f t="shared" si="28"/>
        <v>183620.1886276155</v>
      </c>
      <c r="AG62" s="1">
        <f t="shared" si="29"/>
        <v>851329.9654553082</v>
      </c>
      <c r="AH62"/>
      <c r="AI62"/>
      <c r="AJ62" s="195" t="s">
        <v>638</v>
      </c>
      <c r="AK62" s="191"/>
      <c r="AL62" s="191"/>
      <c r="AM62" s="198"/>
      <c r="AN62"/>
      <c r="AP62" t="s">
        <v>162</v>
      </c>
      <c r="AQ62" s="3" t="s">
        <v>159</v>
      </c>
      <c r="AR62" s="1">
        <v>8009544</v>
      </c>
      <c r="AS62" s="1">
        <v>2232647.25434784</v>
      </c>
      <c r="AT62" s="1">
        <v>1116323.62717392</v>
      </c>
      <c r="AU62" s="1">
        <v>5175682.27144272</v>
      </c>
      <c r="AV62" s="1">
        <v>256754.4342500016</v>
      </c>
      <c r="AW62" s="1">
        <v>178611.78034782718</v>
      </c>
      <c r="AX62" s="1">
        <v>736773.5939347872</v>
      </c>
      <c r="AY62" s="1">
        <f t="shared" si="30"/>
        <v>46986.06146775029</v>
      </c>
      <c r="AZ62" s="1">
        <f t="shared" si="31"/>
        <v>27466.17209158811</v>
      </c>
      <c r="BA62" s="1">
        <f t="shared" si="32"/>
        <v>64859.5592500825</v>
      </c>
      <c r="BB62" s="1">
        <f t="shared" si="33"/>
        <v>14891.757186500094</v>
      </c>
      <c r="BC62" s="1">
        <f t="shared" si="34"/>
        <v>0</v>
      </c>
      <c r="BD62" s="1">
        <f t="shared" si="35"/>
        <v>35667.24763738637</v>
      </c>
      <c r="BE62" s="1">
        <f t="shared" si="64"/>
        <v>33378.07645250021</v>
      </c>
      <c r="BF62" s="1">
        <f t="shared" si="37"/>
        <v>21462.103158957634</v>
      </c>
      <c r="BG62" s="1">
        <f t="shared" si="38"/>
        <v>51669.26234847032</v>
      </c>
      <c r="BH62" s="1">
        <f t="shared" si="39"/>
        <v>10270.177370000063</v>
      </c>
      <c r="BI62" s="1">
        <f t="shared" si="40"/>
        <v>5135.088685000032</v>
      </c>
      <c r="BJ62" s="1">
        <f t="shared" si="41"/>
        <v>18342.536782820112</v>
      </c>
      <c r="BL62" s="2">
        <v>0.91</v>
      </c>
      <c r="BM62" s="2">
        <v>0</v>
      </c>
      <c r="BO62" s="1">
        <f t="shared" si="42"/>
        <v>46986.06146775029</v>
      </c>
      <c r="BP62" s="1">
        <f t="shared" si="43"/>
        <v>27466.17209158811</v>
      </c>
      <c r="BQ62" s="1">
        <f t="shared" si="44"/>
        <v>64859.5592500825</v>
      </c>
      <c r="BR62" s="1">
        <f t="shared" si="45"/>
        <v>4050.557954728025</v>
      </c>
      <c r="BS62" s="1">
        <f t="shared" si="46"/>
        <v>0</v>
      </c>
      <c r="BT62" s="1">
        <f t="shared" si="47"/>
        <v>9701.49135736909</v>
      </c>
      <c r="BU62" s="1">
        <f t="shared" si="48"/>
        <v>33378.07645250021</v>
      </c>
      <c r="BV62" s="1">
        <f t="shared" si="49"/>
        <v>21462.103158957634</v>
      </c>
      <c r="BW62" s="1">
        <f t="shared" si="50"/>
        <v>51669.26234847032</v>
      </c>
      <c r="BX62" s="1">
        <f t="shared" si="51"/>
        <v>10270.177370000063</v>
      </c>
      <c r="BY62" s="1">
        <f t="shared" si="52"/>
        <v>5135.088685000032</v>
      </c>
      <c r="BZ62" s="1">
        <f t="shared" si="53"/>
        <v>18342.536782820112</v>
      </c>
      <c r="CA62" s="1">
        <f t="shared" si="54"/>
        <v>245913.23501822952</v>
      </c>
      <c r="CB62" s="1">
        <f t="shared" si="55"/>
        <v>178611.78034782718</v>
      </c>
      <c r="CC62" s="1">
        <f t="shared" si="56"/>
        <v>710807.8376547699</v>
      </c>
      <c r="CD62" s="1">
        <f t="shared" si="65"/>
        <v>2151378.8942895783</v>
      </c>
      <c r="CE62" s="1">
        <f t="shared" si="66"/>
        <v>1075689.4471447892</v>
      </c>
      <c r="CF62" s="1">
        <f t="shared" si="67"/>
        <v>4987287.436762204</v>
      </c>
      <c r="CG62" t="s">
        <v>162</v>
      </c>
      <c r="CH62" s="3" t="s">
        <v>159</v>
      </c>
      <c r="CI62" s="1">
        <v>8009544</v>
      </c>
      <c r="CJ62" s="102">
        <v>2503.013</v>
      </c>
      <c r="CK62" s="1">
        <v>17332.33</v>
      </c>
      <c r="CL62" s="1">
        <f t="shared" si="57"/>
        <v>19835.343</v>
      </c>
      <c r="CM62" s="1">
        <v>2492.24133873337</v>
      </c>
      <c r="CN62" s="1">
        <v>14975.0434997829</v>
      </c>
      <c r="CO62" s="1">
        <f t="shared" si="58"/>
        <v>17467.28483851627</v>
      </c>
      <c r="CP62" s="1">
        <f t="shared" si="68"/>
        <v>5757.217082774962</v>
      </c>
      <c r="CQ62" s="1">
        <f t="shared" si="69"/>
        <v>3048.0412043210886</v>
      </c>
      <c r="CR62" s="1">
        <f t="shared" si="70"/>
        <v>7958.094972428012</v>
      </c>
      <c r="CS62" s="1">
        <f t="shared" si="71"/>
        <v>1195.0445676781906</v>
      </c>
      <c r="CT62" s="1">
        <f t="shared" si="72"/>
        <v>146.70874434722842</v>
      </c>
      <c r="CU62" s="1">
        <f t="shared" si="73"/>
        <v>2324.8474139503724</v>
      </c>
      <c r="CW62" s="215"/>
      <c r="CX62" s="221"/>
      <c r="CY62" s="221"/>
      <c r="CZ62" s="221"/>
      <c r="DA62" s="221"/>
      <c r="DB62" s="221"/>
      <c r="DC62" s="222"/>
    </row>
    <row r="63" spans="1:99" ht="12.75">
      <c r="A63" t="s">
        <v>59</v>
      </c>
      <c r="B63" s="1">
        <v>2412190</v>
      </c>
      <c r="C63" s="121" t="s">
        <v>41</v>
      </c>
      <c r="D63" s="115">
        <v>14.2</v>
      </c>
      <c r="E63" s="110">
        <v>4.3</v>
      </c>
      <c r="F63" s="29">
        <v>24.7</v>
      </c>
      <c r="G63" s="106">
        <v>85.3</v>
      </c>
      <c r="H63" s="115">
        <v>14.7</v>
      </c>
      <c r="I63" s="1">
        <f t="shared" si="74"/>
        <v>342530.98</v>
      </c>
      <c r="J63" s="1">
        <f t="shared" si="75"/>
        <v>103724.17</v>
      </c>
      <c r="K63" s="1">
        <f t="shared" si="76"/>
        <v>595810.93</v>
      </c>
      <c r="L63" s="1">
        <f t="shared" si="77"/>
        <v>2057598.07</v>
      </c>
      <c r="M63" s="1">
        <f t="shared" si="78"/>
        <v>354591.93</v>
      </c>
      <c r="N63" s="12">
        <f t="shared" si="59"/>
        <v>-0.06152000000000002</v>
      </c>
      <c r="O63" s="12">
        <f t="shared" si="60"/>
        <v>-0.01804</v>
      </c>
      <c r="P63" s="12">
        <f t="shared" si="61"/>
        <v>-0.08360999999999998</v>
      </c>
      <c r="Q63" s="12">
        <f t="shared" si="62"/>
        <v>0.26496</v>
      </c>
      <c r="R63" s="12">
        <f t="shared" si="63"/>
        <v>0.020987999999999996</v>
      </c>
      <c r="S63" s="1">
        <f t="shared" si="15"/>
        <v>595837.8500403999</v>
      </c>
      <c r="T63" s="2">
        <f t="shared" si="79"/>
        <v>0.24701115999999998</v>
      </c>
      <c r="U63" s="1">
        <f t="shared" si="17"/>
        <v>68521.352754646</v>
      </c>
      <c r="V63" s="1">
        <f t="shared" si="18"/>
        <v>41708.649502828</v>
      </c>
      <c r="W63" s="1">
        <f t="shared" si="19"/>
        <v>20854.324751414</v>
      </c>
      <c r="X63" s="1">
        <f t="shared" si="20"/>
        <v>96688.232938374</v>
      </c>
      <c r="Y63" s="1">
        <f t="shared" si="21"/>
        <v>8008.060704542975</v>
      </c>
      <c r="Z63" s="1">
        <f t="shared" si="22"/>
        <v>4004.0303522714876</v>
      </c>
      <c r="AA63" s="1">
        <f t="shared" si="23"/>
        <v>18564.14072416781</v>
      </c>
      <c r="AB63" s="1">
        <f t="shared" si="24"/>
        <v>166134.56003805652</v>
      </c>
      <c r="AC63" s="1">
        <f t="shared" si="25"/>
        <v>83067.28001902826</v>
      </c>
      <c r="AD63" s="1">
        <f t="shared" si="26"/>
        <v>385130.1164518583</v>
      </c>
      <c r="AE63" s="1">
        <f t="shared" si="27"/>
        <v>98332.76490463331</v>
      </c>
      <c r="AF63" s="1">
        <f t="shared" si="28"/>
        <v>49166.382452316655</v>
      </c>
      <c r="AG63" s="1">
        <f t="shared" si="29"/>
        <v>227953.22773346814</v>
      </c>
      <c r="AH63"/>
      <c r="AI63"/>
      <c r="AJ63" s="195" t="s">
        <v>639</v>
      </c>
      <c r="AK63" s="191"/>
      <c r="AL63" s="191"/>
      <c r="AM63" s="198"/>
      <c r="AN63"/>
      <c r="AP63" t="s">
        <v>59</v>
      </c>
      <c r="AQ63" s="3" t="s">
        <v>159</v>
      </c>
      <c r="AR63" s="1">
        <v>2412190</v>
      </c>
      <c r="AS63" s="1">
        <v>595837.8500403999</v>
      </c>
      <c r="AT63" s="1">
        <v>297918.92502019997</v>
      </c>
      <c r="AU63" s="1">
        <v>1381260.4705482</v>
      </c>
      <c r="AV63" s="1">
        <v>68521.352754646</v>
      </c>
      <c r="AW63" s="1">
        <v>47667.02800323199</v>
      </c>
      <c r="AX63" s="1">
        <v>196626.49051333198</v>
      </c>
      <c r="AY63" s="1">
        <f t="shared" si="30"/>
        <v>12539.407554100217</v>
      </c>
      <c r="AZ63" s="1">
        <f t="shared" si="31"/>
        <v>7330.036079824822</v>
      </c>
      <c r="BA63" s="1">
        <f t="shared" si="32"/>
        <v>17309.39818767994</v>
      </c>
      <c r="BB63" s="1">
        <f t="shared" si="33"/>
        <v>3974.238459769468</v>
      </c>
      <c r="BC63" s="1">
        <f t="shared" si="34"/>
        <v>0</v>
      </c>
      <c r="BD63" s="1">
        <f t="shared" si="35"/>
        <v>9518.698534993853</v>
      </c>
      <c r="BE63" s="1">
        <f t="shared" si="64"/>
        <v>8907.77585810398</v>
      </c>
      <c r="BF63" s="1">
        <f t="shared" si="37"/>
        <v>5727.699876760859</v>
      </c>
      <c r="BG63" s="1">
        <f t="shared" si="38"/>
        <v>13789.237028344962</v>
      </c>
      <c r="BH63" s="1">
        <f t="shared" si="39"/>
        <v>2740.85411018584</v>
      </c>
      <c r="BI63" s="1">
        <f t="shared" si="40"/>
        <v>1370.42705509292</v>
      </c>
      <c r="BJ63" s="1">
        <f t="shared" si="41"/>
        <v>4895.16544079191</v>
      </c>
      <c r="BL63" s="2">
        <v>0.83</v>
      </c>
      <c r="BM63" s="2">
        <v>0</v>
      </c>
      <c r="BO63" s="1">
        <f t="shared" si="42"/>
        <v>12539.407554100217</v>
      </c>
      <c r="BP63" s="1">
        <f t="shared" si="43"/>
        <v>7330.036079824822</v>
      </c>
      <c r="BQ63" s="1">
        <f t="shared" si="44"/>
        <v>17309.39818767994</v>
      </c>
      <c r="BR63" s="1">
        <f t="shared" si="45"/>
        <v>1335.344122482541</v>
      </c>
      <c r="BS63" s="1">
        <f t="shared" si="46"/>
        <v>0</v>
      </c>
      <c r="BT63" s="1">
        <f t="shared" si="47"/>
        <v>3198.282707757934</v>
      </c>
      <c r="BU63" s="1">
        <f t="shared" si="48"/>
        <v>8907.77585810398</v>
      </c>
      <c r="BV63" s="1">
        <f t="shared" si="49"/>
        <v>5727.699876760859</v>
      </c>
      <c r="BW63" s="1">
        <f t="shared" si="50"/>
        <v>13789.237028344962</v>
      </c>
      <c r="BX63" s="1">
        <f t="shared" si="51"/>
        <v>2740.85411018584</v>
      </c>
      <c r="BY63" s="1">
        <f t="shared" si="52"/>
        <v>1370.42705509292</v>
      </c>
      <c r="BZ63" s="1">
        <f t="shared" si="53"/>
        <v>4895.16544079191</v>
      </c>
      <c r="CA63" s="1">
        <f t="shared" si="54"/>
        <v>65882.45841735907</v>
      </c>
      <c r="CB63" s="1">
        <f t="shared" si="55"/>
        <v>47667.02800323199</v>
      </c>
      <c r="CC63" s="1">
        <f t="shared" si="56"/>
        <v>190306.07468609608</v>
      </c>
      <c r="CD63" s="1">
        <f t="shared" si="65"/>
        <v>576056.0334190587</v>
      </c>
      <c r="CE63" s="1">
        <f t="shared" si="66"/>
        <v>288028.0167095293</v>
      </c>
      <c r="CF63" s="1">
        <f t="shared" si="67"/>
        <v>1335402.6229259998</v>
      </c>
      <c r="CG63" t="s">
        <v>59</v>
      </c>
      <c r="CH63" s="3" t="s">
        <v>159</v>
      </c>
      <c r="CI63" s="1">
        <v>2412190</v>
      </c>
      <c r="CJ63" s="102">
        <v>1084.38</v>
      </c>
      <c r="CK63" s="1">
        <v>7816.247</v>
      </c>
      <c r="CL63" s="1">
        <f t="shared" si="57"/>
        <v>8900.627</v>
      </c>
      <c r="CM63" s="1">
        <v>1016.17475960483</v>
      </c>
      <c r="CN63" s="1">
        <v>5124.70591238789</v>
      </c>
      <c r="CO63" s="1">
        <f t="shared" si="58"/>
        <v>6140.88067199272</v>
      </c>
      <c r="CP63" s="1">
        <f t="shared" si="68"/>
        <v>2024.0342694888004</v>
      </c>
      <c r="CQ63" s="1">
        <f t="shared" si="69"/>
        <v>1071.5836772627295</v>
      </c>
      <c r="CR63" s="1">
        <f t="shared" si="70"/>
        <v>2797.785234159883</v>
      </c>
      <c r="CS63" s="1">
        <f t="shared" si="71"/>
        <v>510.7685744605931</v>
      </c>
      <c r="CT63" s="1">
        <f t="shared" si="72"/>
        <v>63.58785897326357</v>
      </c>
      <c r="CU63" s="1">
        <f t="shared" si="73"/>
        <v>978.9892160960644</v>
      </c>
    </row>
    <row r="64" spans="1:99" ht="12.75">
      <c r="A64" t="s">
        <v>61</v>
      </c>
      <c r="B64" s="1">
        <v>7756.090180417984</v>
      </c>
      <c r="C64" s="4" t="s">
        <v>62</v>
      </c>
      <c r="D64" s="107">
        <v>4</v>
      </c>
      <c r="E64" s="113">
        <v>5</v>
      </c>
      <c r="F64" s="107">
        <v>67.1</v>
      </c>
      <c r="G64" s="113">
        <v>2</v>
      </c>
      <c r="H64" s="107">
        <v>6</v>
      </c>
      <c r="I64" s="1">
        <f t="shared" si="74"/>
        <v>310.24360721671934</v>
      </c>
      <c r="J64" s="1">
        <f t="shared" si="75"/>
        <v>387.8045090208992</v>
      </c>
      <c r="K64" s="1">
        <f t="shared" si="76"/>
        <v>5204.336511060467</v>
      </c>
      <c r="L64" s="1">
        <f t="shared" si="77"/>
        <v>155.12180360835967</v>
      </c>
      <c r="M64" s="1">
        <f t="shared" si="78"/>
        <v>465.36541082507904</v>
      </c>
      <c r="N64" s="12">
        <f t="shared" si="59"/>
        <v>-0.14312</v>
      </c>
      <c r="O64" s="12">
        <f t="shared" si="60"/>
        <v>-0.015239999999999998</v>
      </c>
      <c r="P64" s="12">
        <f t="shared" si="61"/>
        <v>0.04359</v>
      </c>
      <c r="Q64" s="12">
        <f t="shared" si="62"/>
        <v>-0.40144</v>
      </c>
      <c r="R64" s="12">
        <f t="shared" si="63"/>
        <v>-0.06514199999999999</v>
      </c>
      <c r="S64" s="1">
        <f t="shared" si="15"/>
        <v>714.3557612073581</v>
      </c>
      <c r="T64" s="2">
        <f t="shared" si="79"/>
        <v>0.09210255999999999</v>
      </c>
      <c r="U64" s="1">
        <f t="shared" si="17"/>
        <v>82.15091253884619</v>
      </c>
      <c r="V64" s="1">
        <f t="shared" si="18"/>
        <v>50.00490328451507</v>
      </c>
      <c r="W64" s="1">
        <f t="shared" si="19"/>
        <v>25.002451642257537</v>
      </c>
      <c r="X64" s="1">
        <f t="shared" si="20"/>
        <v>115.92045761410311</v>
      </c>
      <c r="Y64" s="1">
        <f t="shared" si="21"/>
        <v>6.172033776831572</v>
      </c>
      <c r="Z64" s="1">
        <f t="shared" si="22"/>
        <v>3.086016888415786</v>
      </c>
      <c r="AA64" s="1">
        <f t="shared" si="23"/>
        <v>14.30789648265501</v>
      </c>
      <c r="AB64" s="1">
        <f t="shared" si="24"/>
        <v>197.94420963213975</v>
      </c>
      <c r="AC64" s="1">
        <f t="shared" si="25"/>
        <v>98.97210481606987</v>
      </c>
      <c r="AD64" s="1">
        <f t="shared" si="26"/>
        <v>458.8706677835967</v>
      </c>
      <c r="AE64" s="1">
        <f t="shared" si="27"/>
        <v>117.16045972332266</v>
      </c>
      <c r="AF64" s="1">
        <f t="shared" si="28"/>
        <v>58.58022986166133</v>
      </c>
      <c r="AG64" s="1">
        <f t="shared" si="29"/>
        <v>271.59924754042976</v>
      </c>
      <c r="AH64"/>
      <c r="AI64"/>
      <c r="AJ64" s="195" t="s">
        <v>640</v>
      </c>
      <c r="AK64" s="191"/>
      <c r="AL64" s="191"/>
      <c r="AM64" s="198"/>
      <c r="AN64"/>
      <c r="AP64" t="s">
        <v>61</v>
      </c>
      <c r="AQ64" s="4" t="s">
        <v>166</v>
      </c>
      <c r="AR64" s="1">
        <v>7756.090180417984</v>
      </c>
      <c r="AS64" s="1">
        <v>714.3557612073581</v>
      </c>
      <c r="AT64" s="1">
        <v>357.17788060367906</v>
      </c>
      <c r="AU64" s="1">
        <v>1656.0065373443301</v>
      </c>
      <c r="AV64" s="1">
        <v>82.15091253884619</v>
      </c>
      <c r="AW64" s="1">
        <v>57.14846089658865</v>
      </c>
      <c r="AX64" s="1">
        <v>235.7374011984282</v>
      </c>
      <c r="AY64" s="1">
        <f t="shared" si="30"/>
        <v>15.033616994608852</v>
      </c>
      <c r="AZ64" s="1">
        <f t="shared" si="31"/>
        <v>8.78805115036855</v>
      </c>
      <c r="BA64" s="1">
        <f t="shared" si="32"/>
        <v>20.752404899358062</v>
      </c>
      <c r="BB64" s="1">
        <f t="shared" si="33"/>
        <v>4.764752927253079</v>
      </c>
      <c r="BC64" s="1">
        <f t="shared" si="34"/>
        <v>0</v>
      </c>
      <c r="BD64" s="1">
        <f t="shared" si="35"/>
        <v>11.41205973606385</v>
      </c>
      <c r="BE64" s="1">
        <f>AV64*0.5</f>
        <v>41.07545626942309</v>
      </c>
      <c r="BF64" s="1">
        <f>BE64*0.492</f>
        <v>20.20912448455616</v>
      </c>
      <c r="BG64" s="1">
        <f>BE64*2</f>
        <v>82.15091253884619</v>
      </c>
      <c r="BH64" s="1">
        <f>AV64*0.1</f>
        <v>8.21509125388462</v>
      </c>
      <c r="BI64" s="1">
        <f>BH64*0.667</f>
        <v>5.479465866341041</v>
      </c>
      <c r="BJ64" s="1">
        <f>BH64*1.5</f>
        <v>12.322636880826929</v>
      </c>
      <c r="BL64" s="2">
        <v>0.98</v>
      </c>
      <c r="BM64" s="2">
        <v>0</v>
      </c>
      <c r="BO64" s="1">
        <f t="shared" si="42"/>
        <v>15.033616994608852</v>
      </c>
      <c r="BP64" s="1">
        <f t="shared" si="43"/>
        <v>8.78805115036855</v>
      </c>
      <c r="BQ64" s="1">
        <f t="shared" si="44"/>
        <v>20.752404899358062</v>
      </c>
      <c r="BR64" s="1">
        <f t="shared" si="45"/>
        <v>1.029186632286665</v>
      </c>
      <c r="BS64" s="1">
        <f t="shared" si="46"/>
        <v>0</v>
      </c>
      <c r="BT64" s="1">
        <f t="shared" si="47"/>
        <v>2.465004902989792</v>
      </c>
      <c r="BU64" s="1">
        <f t="shared" si="48"/>
        <v>41.07545626942309</v>
      </c>
      <c r="BV64" s="1">
        <f t="shared" si="49"/>
        <v>20.20912448455616</v>
      </c>
      <c r="BW64" s="1">
        <f t="shared" si="50"/>
        <v>82.15091253884619</v>
      </c>
      <c r="BX64" s="1">
        <f t="shared" si="51"/>
        <v>8.21509125388462</v>
      </c>
      <c r="BY64" s="1">
        <f t="shared" si="52"/>
        <v>5.479465866341041</v>
      </c>
      <c r="BZ64" s="1">
        <f t="shared" si="53"/>
        <v>12.322636880826929</v>
      </c>
      <c r="CA64" s="1">
        <f t="shared" si="54"/>
        <v>78.41534624387977</v>
      </c>
      <c r="CB64" s="1">
        <f t="shared" si="55"/>
        <v>57.14846089658865</v>
      </c>
      <c r="CC64" s="1">
        <f t="shared" si="56"/>
        <v>226.79034636535414</v>
      </c>
      <c r="CD64" s="1">
        <f t="shared" si="65"/>
        <v>686.3530153680297</v>
      </c>
      <c r="CE64" s="1">
        <f t="shared" si="66"/>
        <v>343.17650768401484</v>
      </c>
      <c r="CF64" s="1">
        <f t="shared" si="67"/>
        <v>1591.0910810804323</v>
      </c>
      <c r="CG64" t="s">
        <v>61</v>
      </c>
      <c r="CH64" s="4" t="s">
        <v>166</v>
      </c>
      <c r="CI64" s="1">
        <v>7756.090180417984</v>
      </c>
      <c r="CJ64" s="102">
        <v>0</v>
      </c>
      <c r="CK64" s="1">
        <v>0</v>
      </c>
      <c r="CL64" s="1">
        <f t="shared" si="57"/>
        <v>0</v>
      </c>
      <c r="CM64" s="1">
        <v>0</v>
      </c>
      <c r="CN64" s="1">
        <v>0</v>
      </c>
      <c r="CO64" s="1">
        <f t="shared" si="58"/>
        <v>0</v>
      </c>
      <c r="CP64" s="1">
        <f t="shared" si="68"/>
        <v>0</v>
      </c>
      <c r="CQ64" s="1">
        <f t="shared" si="69"/>
        <v>0</v>
      </c>
      <c r="CR64" s="1">
        <f t="shared" si="70"/>
        <v>0</v>
      </c>
      <c r="CS64" s="1">
        <f t="shared" si="71"/>
        <v>0</v>
      </c>
      <c r="CT64" s="1">
        <f t="shared" si="72"/>
        <v>0</v>
      </c>
      <c r="CU64" s="1">
        <f t="shared" si="73"/>
        <v>0</v>
      </c>
    </row>
    <row r="65" spans="1:99" ht="12.75">
      <c r="A65" t="s">
        <v>63</v>
      </c>
      <c r="B65" s="1">
        <v>3385831</v>
      </c>
      <c r="C65" s="4" t="s">
        <v>62</v>
      </c>
      <c r="D65" s="113">
        <v>2</v>
      </c>
      <c r="E65" s="113">
        <v>7</v>
      </c>
      <c r="F65" s="107">
        <v>67.1</v>
      </c>
      <c r="G65" s="113">
        <v>5</v>
      </c>
      <c r="H65" s="107">
        <v>6</v>
      </c>
      <c r="I65" s="1">
        <f t="shared" si="74"/>
        <v>67716.62</v>
      </c>
      <c r="J65" s="1">
        <f t="shared" si="75"/>
        <v>237008.17</v>
      </c>
      <c r="K65" s="1">
        <f t="shared" si="76"/>
        <v>2271892.601</v>
      </c>
      <c r="L65" s="1">
        <f t="shared" si="77"/>
        <v>169291.55</v>
      </c>
      <c r="M65" s="1">
        <f t="shared" si="78"/>
        <v>203149.86</v>
      </c>
      <c r="N65" s="12">
        <f t="shared" si="59"/>
        <v>-0.15912000000000004</v>
      </c>
      <c r="O65" s="12">
        <f t="shared" si="60"/>
        <v>-0.0072399999999999964</v>
      </c>
      <c r="P65" s="12">
        <f t="shared" si="61"/>
        <v>0.04359</v>
      </c>
      <c r="Q65" s="12">
        <f t="shared" si="62"/>
        <v>-0.37744000000000005</v>
      </c>
      <c r="R65" s="12">
        <f t="shared" si="63"/>
        <v>-0.06514199999999999</v>
      </c>
      <c r="S65" s="1">
        <f t="shared" si="15"/>
        <v>323761.82794735994</v>
      </c>
      <c r="T65" s="2">
        <f t="shared" si="79"/>
        <v>0.09562255999999998</v>
      </c>
      <c r="U65" s="1">
        <f t="shared" si="17"/>
        <v>37232.6102139464</v>
      </c>
      <c r="V65" s="1">
        <f t="shared" si="18"/>
        <v>22663.3279563152</v>
      </c>
      <c r="W65" s="1">
        <f t="shared" si="19"/>
        <v>11331.6639781576</v>
      </c>
      <c r="X65" s="1">
        <f t="shared" si="20"/>
        <v>52537.7148078216</v>
      </c>
      <c r="Y65" s="1">
        <f t="shared" si="21"/>
        <v>3211.7173332378097</v>
      </c>
      <c r="Z65" s="1">
        <f t="shared" si="22"/>
        <v>1605.8586666189049</v>
      </c>
      <c r="AA65" s="1">
        <f t="shared" si="23"/>
        <v>7445.344727051288</v>
      </c>
      <c r="AB65" s="1">
        <f t="shared" si="24"/>
        <v>89862.08971964991</v>
      </c>
      <c r="AC65" s="1">
        <f t="shared" si="25"/>
        <v>44931.04485982496</v>
      </c>
      <c r="AD65" s="1">
        <f t="shared" si="26"/>
        <v>208316.6625319157</v>
      </c>
      <c r="AE65" s="1">
        <f t="shared" si="27"/>
        <v>53188.13701506324</v>
      </c>
      <c r="AF65" s="1">
        <f t="shared" si="28"/>
        <v>26594.06850753162</v>
      </c>
      <c r="AG65" s="1">
        <f t="shared" si="29"/>
        <v>123299.77217128297</v>
      </c>
      <c r="AH65"/>
      <c r="AI65"/>
      <c r="AJ65" s="195" t="s">
        <v>641</v>
      </c>
      <c r="AK65" s="191"/>
      <c r="AL65" s="191"/>
      <c r="AM65" s="198"/>
      <c r="AN65"/>
      <c r="AP65" t="s">
        <v>63</v>
      </c>
      <c r="AQ65" s="4" t="s">
        <v>166</v>
      </c>
      <c r="AR65" s="1">
        <v>3385831</v>
      </c>
      <c r="AS65" s="1">
        <v>323761.82794735994</v>
      </c>
      <c r="AT65" s="1">
        <v>161880.91397367997</v>
      </c>
      <c r="AU65" s="1">
        <v>750538.7829688799</v>
      </c>
      <c r="AV65" s="1">
        <v>37232.6102139464</v>
      </c>
      <c r="AW65" s="1">
        <v>25900.946235788797</v>
      </c>
      <c r="AX65" s="1">
        <v>106841.40322262878</v>
      </c>
      <c r="AY65" s="1">
        <f t="shared" si="30"/>
        <v>6813.56766915219</v>
      </c>
      <c r="AZ65" s="1">
        <f t="shared" si="31"/>
        <v>3982.939116679604</v>
      </c>
      <c r="BA65" s="1">
        <f t="shared" si="32"/>
        <v>9405.448810497684</v>
      </c>
      <c r="BB65" s="1">
        <f t="shared" si="33"/>
        <v>2159.491392408891</v>
      </c>
      <c r="BC65" s="1">
        <f t="shared" si="34"/>
        <v>0</v>
      </c>
      <c r="BD65" s="1">
        <f t="shared" si="35"/>
        <v>5172.197833958534</v>
      </c>
      <c r="BE65" s="1">
        <f aca="true" t="shared" si="80" ref="BE65:BE95">AV65*0.5</f>
        <v>18616.3051069732</v>
      </c>
      <c r="BF65" s="1">
        <f aca="true" t="shared" si="81" ref="BF65:BF95">BE65*0.492</f>
        <v>9159.222112630814</v>
      </c>
      <c r="BG65" s="1">
        <f aca="true" t="shared" si="82" ref="BG65:BG95">BE65*2</f>
        <v>37232.6102139464</v>
      </c>
      <c r="BH65" s="1">
        <f aca="true" t="shared" si="83" ref="BH65:BH95">AV65*0.1</f>
        <v>3723.26102139464</v>
      </c>
      <c r="BI65" s="1">
        <f aca="true" t="shared" si="84" ref="BI65:BI95">BH65*0.667</f>
        <v>2483.415101270225</v>
      </c>
      <c r="BJ65" s="1">
        <f aca="true" t="shared" si="85" ref="BJ65:BJ95">BH65*1.5</f>
        <v>5584.8915320919605</v>
      </c>
      <c r="BL65" s="2">
        <v>0.94</v>
      </c>
      <c r="BM65" s="2">
        <v>0</v>
      </c>
      <c r="BO65" s="1">
        <f t="shared" si="42"/>
        <v>6813.56766915219</v>
      </c>
      <c r="BP65" s="1">
        <f t="shared" si="43"/>
        <v>3982.939116679604</v>
      </c>
      <c r="BQ65" s="1">
        <f t="shared" si="44"/>
        <v>9405.448810497684</v>
      </c>
      <c r="BR65" s="1">
        <f t="shared" si="45"/>
        <v>535.5538653174049</v>
      </c>
      <c r="BS65" s="1">
        <f t="shared" si="46"/>
        <v>0</v>
      </c>
      <c r="BT65" s="1">
        <f t="shared" si="47"/>
        <v>1282.7050628217162</v>
      </c>
      <c r="BU65" s="1">
        <f t="shared" si="48"/>
        <v>18616.3051069732</v>
      </c>
      <c r="BV65" s="1">
        <f t="shared" si="49"/>
        <v>9159.222112630814</v>
      </c>
      <c r="BW65" s="1">
        <f t="shared" si="50"/>
        <v>37232.6102139464</v>
      </c>
      <c r="BX65" s="1">
        <f t="shared" si="51"/>
        <v>3723.26102139464</v>
      </c>
      <c r="BY65" s="1">
        <f t="shared" si="52"/>
        <v>2483.415101270225</v>
      </c>
      <c r="BZ65" s="1">
        <f t="shared" si="53"/>
        <v>5584.8915320919605</v>
      </c>
      <c r="CA65" s="1">
        <f t="shared" si="54"/>
        <v>35608.672686854916</v>
      </c>
      <c r="CB65" s="1">
        <f t="shared" si="55"/>
        <v>25900.946235788797</v>
      </c>
      <c r="CC65" s="1">
        <f t="shared" si="56"/>
        <v>102951.91045149196</v>
      </c>
      <c r="CD65" s="1">
        <f t="shared" si="65"/>
        <v>311588.3832165392</v>
      </c>
      <c r="CE65" s="1">
        <f t="shared" si="66"/>
        <v>155794.1916082696</v>
      </c>
      <c r="CF65" s="1">
        <f t="shared" si="67"/>
        <v>722318.52472925</v>
      </c>
      <c r="CG65" t="s">
        <v>63</v>
      </c>
      <c r="CH65" s="4" t="s">
        <v>166</v>
      </c>
      <c r="CI65" s="1">
        <v>3385831</v>
      </c>
      <c r="CJ65" s="102">
        <v>93.24071</v>
      </c>
      <c r="CK65" s="1">
        <v>836.2673</v>
      </c>
      <c r="CL65" s="1">
        <f t="shared" si="57"/>
        <v>929.50801</v>
      </c>
      <c r="CM65" s="1">
        <v>95.097801640702</v>
      </c>
      <c r="CN65" s="1">
        <v>857.307713944563</v>
      </c>
      <c r="CO65" s="1">
        <f t="shared" si="58"/>
        <v>952.405515585265</v>
      </c>
      <c r="CP65" s="1">
        <f t="shared" si="68"/>
        <v>313.9128579369033</v>
      </c>
      <c r="CQ65" s="1">
        <f t="shared" si="69"/>
        <v>166.19476246962873</v>
      </c>
      <c r="CR65" s="1">
        <f t="shared" si="70"/>
        <v>433.91595290064674</v>
      </c>
      <c r="CS65" s="1">
        <f t="shared" si="71"/>
        <v>59.77134626680464</v>
      </c>
      <c r="CT65" s="1">
        <f t="shared" si="72"/>
        <v>7.2988972250675745</v>
      </c>
      <c r="CU65" s="1">
        <f t="shared" si="73"/>
        <v>116.95107428152748</v>
      </c>
    </row>
    <row r="66" spans="1:99" ht="12.75">
      <c r="A66" t="s">
        <v>64</v>
      </c>
      <c r="B66" s="1">
        <v>25507</v>
      </c>
      <c r="C66" s="4" t="s">
        <v>62</v>
      </c>
      <c r="D66" s="107">
        <v>4</v>
      </c>
      <c r="E66" s="113">
        <v>11</v>
      </c>
      <c r="F66" s="107">
        <v>67.1</v>
      </c>
      <c r="G66" s="113">
        <v>5</v>
      </c>
      <c r="H66" s="107">
        <v>6</v>
      </c>
      <c r="I66" s="1">
        <f t="shared" si="74"/>
        <v>1020.28</v>
      </c>
      <c r="J66" s="1">
        <f t="shared" si="75"/>
        <v>2805.77</v>
      </c>
      <c r="K66" s="1">
        <f t="shared" si="76"/>
        <v>17115.197</v>
      </c>
      <c r="L66" s="1">
        <f t="shared" si="77"/>
        <v>1275.35</v>
      </c>
      <c r="M66" s="1">
        <f t="shared" si="78"/>
        <v>1530.42</v>
      </c>
      <c r="N66" s="12">
        <f t="shared" si="59"/>
        <v>-0.14312</v>
      </c>
      <c r="O66" s="12">
        <f t="shared" si="60"/>
        <v>0.008760000000000002</v>
      </c>
      <c r="P66" s="12">
        <f t="shared" si="61"/>
        <v>0.04359</v>
      </c>
      <c r="Q66" s="12">
        <f t="shared" si="62"/>
        <v>-0.37744000000000005</v>
      </c>
      <c r="R66" s="12">
        <f t="shared" si="63"/>
        <v>-0.06514199999999999</v>
      </c>
      <c r="S66" s="1">
        <f t="shared" si="15"/>
        <v>2618.61391792</v>
      </c>
      <c r="T66" s="2">
        <f t="shared" si="79"/>
        <v>0.10266256</v>
      </c>
      <c r="U66" s="1">
        <f t="shared" si="17"/>
        <v>301.1406005608</v>
      </c>
      <c r="V66" s="1">
        <f t="shared" si="18"/>
        <v>182.2398170037245</v>
      </c>
      <c r="W66" s="1">
        <f t="shared" si="19"/>
        <v>91.11990850186226</v>
      </c>
      <c r="X66" s="1">
        <f t="shared" si="20"/>
        <v>422.46503032681585</v>
      </c>
      <c r="Y66" s="1">
        <f t="shared" si="21"/>
        <v>22.624824250828794</v>
      </c>
      <c r="Z66" s="1">
        <f t="shared" si="22"/>
        <v>11.312412125414397</v>
      </c>
      <c r="AA66" s="1">
        <f t="shared" si="23"/>
        <v>52.4484562178304</v>
      </c>
      <c r="AB66" s="1">
        <f t="shared" si="24"/>
        <v>725.0754445963956</v>
      </c>
      <c r="AC66" s="1">
        <f t="shared" si="25"/>
        <v>362.5377222981978</v>
      </c>
      <c r="AD66" s="1">
        <f t="shared" si="26"/>
        <v>1680.8567124734627</v>
      </c>
      <c r="AE66" s="1">
        <f t="shared" si="27"/>
        <v>429.1621996969651</v>
      </c>
      <c r="AF66" s="1">
        <f t="shared" si="28"/>
        <v>214.58109984848255</v>
      </c>
      <c r="AG66" s="1">
        <f t="shared" si="29"/>
        <v>994.8760083884191</v>
      </c>
      <c r="AH66"/>
      <c r="AI66"/>
      <c r="AJ66" s="195" t="s">
        <v>642</v>
      </c>
      <c r="AK66" s="191"/>
      <c r="AL66" s="191"/>
      <c r="AM66" s="198"/>
      <c r="AN66"/>
      <c r="AP66" t="s">
        <v>64</v>
      </c>
      <c r="AQ66" s="4" t="s">
        <v>166</v>
      </c>
      <c r="AR66" s="1">
        <v>25507</v>
      </c>
      <c r="AS66" s="1">
        <v>2618.61391792</v>
      </c>
      <c r="AT66" s="1">
        <v>1309.30695896</v>
      </c>
      <c r="AU66" s="1">
        <v>6070.42317336</v>
      </c>
      <c r="AV66" s="1">
        <v>301.1406005608</v>
      </c>
      <c r="AW66" s="1">
        <v>209.4891134336</v>
      </c>
      <c r="AX66" s="1">
        <v>864.1425929136</v>
      </c>
      <c r="AY66" s="1">
        <f t="shared" si="30"/>
        <v>55.1087299026264</v>
      </c>
      <c r="AZ66" s="1">
        <f t="shared" si="31"/>
        <v>32.214359151879286</v>
      </c>
      <c r="BA66" s="1">
        <f t="shared" si="32"/>
        <v>76.07209075758549</v>
      </c>
      <c r="BB66" s="1">
        <f t="shared" si="33"/>
        <v>17.466154832526403</v>
      </c>
      <c r="BC66" s="1">
        <f t="shared" si="34"/>
        <v>0</v>
      </c>
      <c r="BD66" s="1">
        <f t="shared" si="35"/>
        <v>41.833187439383984</v>
      </c>
      <c r="BE66" s="1">
        <f t="shared" si="80"/>
        <v>150.5703002804</v>
      </c>
      <c r="BF66" s="1">
        <f t="shared" si="81"/>
        <v>74.0805877379568</v>
      </c>
      <c r="BG66" s="1">
        <f t="shared" si="82"/>
        <v>301.1406005608</v>
      </c>
      <c r="BH66" s="1">
        <f t="shared" si="83"/>
        <v>30.114060056080003</v>
      </c>
      <c r="BI66" s="1">
        <f t="shared" si="84"/>
        <v>20.086078057405363</v>
      </c>
      <c r="BJ66" s="1">
        <f t="shared" si="85"/>
        <v>45.17109008412</v>
      </c>
      <c r="BL66" s="2">
        <v>0.98</v>
      </c>
      <c r="BM66" s="2">
        <v>0.01</v>
      </c>
      <c r="BO66" s="1">
        <f t="shared" si="42"/>
        <v>54.78909926919117</v>
      </c>
      <c r="BP66" s="1">
        <f t="shared" si="43"/>
        <v>32.02751586879839</v>
      </c>
      <c r="BQ66" s="1">
        <f t="shared" si="44"/>
        <v>75.6308726311915</v>
      </c>
      <c r="BR66" s="1">
        <f t="shared" si="45"/>
        <v>3.772689443825703</v>
      </c>
      <c r="BS66" s="1">
        <f t="shared" si="46"/>
        <v>0</v>
      </c>
      <c r="BT66" s="1">
        <f t="shared" si="47"/>
        <v>9.035968486906938</v>
      </c>
      <c r="BU66" s="1">
        <f t="shared" si="48"/>
        <v>150.5703002804</v>
      </c>
      <c r="BV66" s="1">
        <f t="shared" si="49"/>
        <v>74.0805877379568</v>
      </c>
      <c r="BW66" s="1">
        <f t="shared" si="50"/>
        <v>301.1406005608</v>
      </c>
      <c r="BX66" s="1">
        <f t="shared" si="51"/>
        <v>30.114060056080003</v>
      </c>
      <c r="BY66" s="1">
        <f t="shared" si="52"/>
        <v>20.086078057405363</v>
      </c>
      <c r="BZ66" s="1">
        <f t="shared" si="53"/>
        <v>45.17109008412</v>
      </c>
      <c r="CA66" s="1">
        <f t="shared" si="54"/>
        <v>287.1275045386641</v>
      </c>
      <c r="CB66" s="1">
        <f t="shared" si="55"/>
        <v>209.30227015051912</v>
      </c>
      <c r="CC66" s="1">
        <f t="shared" si="56"/>
        <v>830.904155834729</v>
      </c>
      <c r="CD66" s="1">
        <f t="shared" si="65"/>
        <v>2514.131222594992</v>
      </c>
      <c r="CE66" s="1">
        <f t="shared" si="66"/>
        <v>1257.065611297496</v>
      </c>
      <c r="CF66" s="1">
        <f t="shared" si="67"/>
        <v>5828.213288742936</v>
      </c>
      <c r="CG66" t="s">
        <v>64</v>
      </c>
      <c r="CH66" s="4" t="s">
        <v>166</v>
      </c>
      <c r="CI66" s="1">
        <v>25507</v>
      </c>
      <c r="CJ66" s="102">
        <v>8.441999</v>
      </c>
      <c r="CK66" s="1">
        <v>16.52937</v>
      </c>
      <c r="CL66" s="1">
        <f t="shared" si="57"/>
        <v>24.971369</v>
      </c>
      <c r="CM66" s="1">
        <v>8.66415686842105</v>
      </c>
      <c r="CN66" s="1">
        <v>16.52937</v>
      </c>
      <c r="CO66" s="1">
        <f t="shared" si="58"/>
        <v>25.193526868421053</v>
      </c>
      <c r="CP66" s="1">
        <f t="shared" si="68"/>
        <v>8.27143683475602</v>
      </c>
      <c r="CQ66" s="1">
        <f t="shared" si="69"/>
        <v>4.375200210128615</v>
      </c>
      <c r="CR66" s="1">
        <f t="shared" si="70"/>
        <v>11.44183226329247</v>
      </c>
      <c r="CS66" s="1">
        <f t="shared" si="71"/>
        <v>1.388332023843957</v>
      </c>
      <c r="CT66" s="1">
        <f t="shared" si="72"/>
        <v>0.16832788001768698</v>
      </c>
      <c r="CU66" s="1">
        <f t="shared" si="73"/>
        <v>2.7378500756502615</v>
      </c>
    </row>
    <row r="67" spans="1:99" ht="12.75">
      <c r="A67" t="s">
        <v>65</v>
      </c>
      <c r="B67" s="1">
        <v>14562</v>
      </c>
      <c r="C67" s="4" t="s">
        <v>62</v>
      </c>
      <c r="D67" s="107">
        <v>4</v>
      </c>
      <c r="E67" s="113">
        <v>12</v>
      </c>
      <c r="F67" s="107">
        <v>67.1</v>
      </c>
      <c r="G67" s="113">
        <v>5</v>
      </c>
      <c r="H67" s="107">
        <v>6</v>
      </c>
      <c r="I67" s="1">
        <f t="shared" si="74"/>
        <v>582.48</v>
      </c>
      <c r="J67" s="1">
        <f t="shared" si="75"/>
        <v>1747.44</v>
      </c>
      <c r="K67" s="1">
        <f t="shared" si="76"/>
        <v>9771.101999999999</v>
      </c>
      <c r="L67" s="1">
        <f t="shared" si="77"/>
        <v>728.1</v>
      </c>
      <c r="M67" s="1">
        <f t="shared" si="78"/>
        <v>873.72</v>
      </c>
      <c r="N67" s="12">
        <f t="shared" si="59"/>
        <v>-0.14312</v>
      </c>
      <c r="O67" s="12">
        <f t="shared" si="60"/>
        <v>0.01276</v>
      </c>
      <c r="P67" s="12">
        <f t="shared" si="61"/>
        <v>0.04359</v>
      </c>
      <c r="Q67" s="12">
        <f t="shared" si="62"/>
        <v>-0.37744000000000005</v>
      </c>
      <c r="R67" s="12">
        <f t="shared" si="63"/>
        <v>-0.06514199999999999</v>
      </c>
      <c r="S67" s="1">
        <f t="shared" si="15"/>
        <v>1507.78675872</v>
      </c>
      <c r="T67" s="2">
        <f t="shared" si="79"/>
        <v>0.10354256</v>
      </c>
      <c r="U67" s="1">
        <f t="shared" si="17"/>
        <v>173.39547725280002</v>
      </c>
      <c r="V67" s="1">
        <f t="shared" si="18"/>
        <v>59.632966307376016</v>
      </c>
      <c r="W67" s="1">
        <f t="shared" si="19"/>
        <v>29.816483153688008</v>
      </c>
      <c r="X67" s="1">
        <f t="shared" si="20"/>
        <v>138.24005825800805</v>
      </c>
      <c r="Y67" s="1">
        <f t="shared" si="21"/>
        <v>18.817178748825597</v>
      </c>
      <c r="Z67" s="1">
        <f t="shared" si="22"/>
        <v>9.408589374412799</v>
      </c>
      <c r="AA67" s="1">
        <f t="shared" si="23"/>
        <v>43.6216416450048</v>
      </c>
      <c r="AB67" s="1">
        <f t="shared" si="24"/>
        <v>397.0576097792777</v>
      </c>
      <c r="AC67" s="1">
        <f t="shared" si="25"/>
        <v>198.52880488963885</v>
      </c>
      <c r="AD67" s="1">
        <f t="shared" si="26"/>
        <v>920.4517317610529</v>
      </c>
      <c r="AE67" s="1">
        <f t="shared" si="27"/>
        <v>235.0129472584005</v>
      </c>
      <c r="AF67" s="1">
        <f t="shared" si="28"/>
        <v>117.50647362920024</v>
      </c>
      <c r="AG67" s="1">
        <f t="shared" si="29"/>
        <v>544.8027413717466</v>
      </c>
      <c r="AH67"/>
      <c r="AI67"/>
      <c r="AJ67" s="195" t="s">
        <v>643</v>
      </c>
      <c r="AK67" s="191"/>
      <c r="AL67" s="191"/>
      <c r="AM67" s="198"/>
      <c r="AN67"/>
      <c r="AP67" t="s">
        <v>65</v>
      </c>
      <c r="AQ67" s="4" t="s">
        <v>166</v>
      </c>
      <c r="AR67" s="1">
        <v>14562</v>
      </c>
      <c r="AS67" s="1">
        <v>1507.78675872</v>
      </c>
      <c r="AT67" s="1">
        <v>753.89337936</v>
      </c>
      <c r="AU67" s="1">
        <v>3495.3238497600005</v>
      </c>
      <c r="AV67" s="1">
        <v>173.39547725280002</v>
      </c>
      <c r="AW67" s="1">
        <v>120.62294069760001</v>
      </c>
      <c r="AX67" s="1">
        <v>497.56963037760005</v>
      </c>
      <c r="AY67" s="1">
        <f t="shared" si="30"/>
        <v>31.731372337262403</v>
      </c>
      <c r="AZ67" s="1">
        <f t="shared" si="31"/>
        <v>18.548891013470108</v>
      </c>
      <c r="BA67" s="1">
        <f t="shared" si="32"/>
        <v>43.80198637435702</v>
      </c>
      <c r="BB67" s="1">
        <f t="shared" si="33"/>
        <v>10.056937680662402</v>
      </c>
      <c r="BC67" s="1">
        <f t="shared" si="34"/>
        <v>0</v>
      </c>
      <c r="BD67" s="1">
        <f t="shared" si="35"/>
        <v>24.087371438954516</v>
      </c>
      <c r="BE67" s="1">
        <f t="shared" si="80"/>
        <v>86.69773862640001</v>
      </c>
      <c r="BF67" s="1">
        <f t="shared" si="81"/>
        <v>42.655287404188805</v>
      </c>
      <c r="BG67" s="1">
        <f t="shared" si="82"/>
        <v>173.39547725280002</v>
      </c>
      <c r="BH67" s="1">
        <f t="shared" si="83"/>
        <v>17.339547725280003</v>
      </c>
      <c r="BI67" s="1">
        <f t="shared" si="84"/>
        <v>11.565478332761762</v>
      </c>
      <c r="BJ67" s="1">
        <f t="shared" si="85"/>
        <v>26.009321587920006</v>
      </c>
      <c r="BL67" s="2">
        <v>0.86</v>
      </c>
      <c r="BM67" s="2">
        <v>0.75</v>
      </c>
      <c r="BO67" s="1">
        <f t="shared" si="42"/>
        <v>17.928225370553257</v>
      </c>
      <c r="BP67" s="1">
        <f t="shared" si="43"/>
        <v>10.480123422610612</v>
      </c>
      <c r="BQ67" s="1">
        <f t="shared" si="44"/>
        <v>24.74812230151172</v>
      </c>
      <c r="BR67" s="1">
        <f t="shared" si="45"/>
        <v>3.137764556366669</v>
      </c>
      <c r="BS67" s="1">
        <f t="shared" si="46"/>
        <v>0</v>
      </c>
      <c r="BT67" s="1">
        <f t="shared" si="47"/>
        <v>7.515259888953807</v>
      </c>
      <c r="BU67" s="1">
        <f t="shared" si="48"/>
        <v>86.69773862640001</v>
      </c>
      <c r="BV67" s="1">
        <f t="shared" si="49"/>
        <v>42.655287404188805</v>
      </c>
      <c r="BW67" s="1">
        <f t="shared" si="50"/>
        <v>173.39547725280002</v>
      </c>
      <c r="BX67" s="1">
        <f t="shared" si="51"/>
        <v>17.339547725280003</v>
      </c>
      <c r="BY67" s="1">
        <f t="shared" si="52"/>
        <v>11.565478332761762</v>
      </c>
      <c r="BZ67" s="1">
        <f t="shared" si="53"/>
        <v>26.009321587920006</v>
      </c>
      <c r="CA67" s="1">
        <f t="shared" si="54"/>
        <v>152.67315716179516</v>
      </c>
      <c r="CB67" s="1">
        <f t="shared" si="55"/>
        <v>112.55417310674052</v>
      </c>
      <c r="CC67" s="1">
        <f t="shared" si="56"/>
        <v>461.943654754754</v>
      </c>
      <c r="CD67" s="1">
        <f t="shared" si="65"/>
        <v>1376.760089387232</v>
      </c>
      <c r="CE67" s="1">
        <f t="shared" si="66"/>
        <v>688.380044693616</v>
      </c>
      <c r="CF67" s="1">
        <f t="shared" si="67"/>
        <v>3191.5802072158563</v>
      </c>
      <c r="CG67" t="s">
        <v>65</v>
      </c>
      <c r="CH67" s="4" t="s">
        <v>166</v>
      </c>
      <c r="CI67" s="1">
        <v>14562</v>
      </c>
      <c r="CJ67" s="102">
        <v>0</v>
      </c>
      <c r="CK67" s="1">
        <v>4.375</v>
      </c>
      <c r="CL67" s="1">
        <f t="shared" si="57"/>
        <v>4.375</v>
      </c>
      <c r="CM67" s="1">
        <v>0</v>
      </c>
      <c r="CN67" s="1">
        <v>4.375</v>
      </c>
      <c r="CO67" s="1">
        <f t="shared" si="58"/>
        <v>4.375</v>
      </c>
      <c r="CP67" s="1">
        <f t="shared" si="68"/>
        <v>0.9510940622723622</v>
      </c>
      <c r="CQ67" s="1">
        <f t="shared" si="69"/>
        <v>0.46677382134364254</v>
      </c>
      <c r="CR67" s="1">
        <f t="shared" si="70"/>
        <v>1.4045479999102037</v>
      </c>
      <c r="CS67" s="1">
        <f t="shared" si="71"/>
        <v>0.3399184661401622</v>
      </c>
      <c r="CT67" s="1">
        <f t="shared" si="72"/>
        <v>0.04209768894175622</v>
      </c>
      <c r="CU67" s="1">
        <f t="shared" si="73"/>
        <v>0.6551102891098548</v>
      </c>
    </row>
    <row r="68" spans="1:99" ht="12.75">
      <c r="A68" t="s">
        <v>66</v>
      </c>
      <c r="B68" s="1">
        <v>36599</v>
      </c>
      <c r="C68" s="4" t="s">
        <v>62</v>
      </c>
      <c r="D68" s="113">
        <v>4</v>
      </c>
      <c r="E68" s="113">
        <v>14</v>
      </c>
      <c r="F68" s="113">
        <v>90</v>
      </c>
      <c r="G68" s="113">
        <v>14</v>
      </c>
      <c r="H68" s="107">
        <v>6</v>
      </c>
      <c r="I68" s="1">
        <f t="shared" si="74"/>
        <v>1463.96</v>
      </c>
      <c r="J68" s="1">
        <f t="shared" si="75"/>
        <v>5123.86</v>
      </c>
      <c r="K68" s="1">
        <f t="shared" si="76"/>
        <v>32939.1</v>
      </c>
      <c r="L68" s="1">
        <f t="shared" si="77"/>
        <v>5123.86</v>
      </c>
      <c r="M68" s="1">
        <f t="shared" si="78"/>
        <v>2195.94</v>
      </c>
      <c r="N68" s="12">
        <f t="shared" si="59"/>
        <v>-0.14312</v>
      </c>
      <c r="O68" s="12">
        <f t="shared" si="60"/>
        <v>0.020760000000000008</v>
      </c>
      <c r="P68" s="12">
        <f t="shared" si="61"/>
        <v>0.11229000000000001</v>
      </c>
      <c r="Q68" s="12">
        <f t="shared" si="62"/>
        <v>-0.30544000000000004</v>
      </c>
      <c r="R68" s="12">
        <f t="shared" si="63"/>
        <v>-0.06514199999999999</v>
      </c>
      <c r="S68" s="1">
        <f t="shared" si="15"/>
        <v>4986.853839439999</v>
      </c>
      <c r="T68" s="2">
        <f t="shared" si="79"/>
        <v>0.13625655999999997</v>
      </c>
      <c r="U68" s="1">
        <f t="shared" si="17"/>
        <v>573.4881915356</v>
      </c>
      <c r="V68" s="1">
        <f t="shared" si="18"/>
        <v>349.0797687608</v>
      </c>
      <c r="W68" s="1">
        <f t="shared" si="19"/>
        <v>174.5398843804</v>
      </c>
      <c r="X68" s="1">
        <f t="shared" si="20"/>
        <v>809.2303730364001</v>
      </c>
      <c r="Y68" s="1">
        <f t="shared" si="21"/>
        <v>46.278003630003184</v>
      </c>
      <c r="Z68" s="1">
        <f t="shared" si="22"/>
        <v>23.139001815001592</v>
      </c>
      <c r="AA68" s="1">
        <f t="shared" si="23"/>
        <v>107.28082659682559</v>
      </c>
      <c r="AB68" s="1">
        <f t="shared" si="24"/>
        <v>1382.9814352383871</v>
      </c>
      <c r="AC68" s="1">
        <f t="shared" si="25"/>
        <v>691.4907176191936</v>
      </c>
      <c r="AD68" s="1">
        <f t="shared" si="26"/>
        <v>3206.002418052625</v>
      </c>
      <c r="AE68" s="1">
        <f t="shared" si="27"/>
        <v>818.5677218973393</v>
      </c>
      <c r="AF68" s="1">
        <f t="shared" si="28"/>
        <v>409.28386094866966</v>
      </c>
      <c r="AG68" s="1">
        <f t="shared" si="29"/>
        <v>1897.5888098529233</v>
      </c>
      <c r="AH68"/>
      <c r="AI68"/>
      <c r="AJ68" s="209" t="s">
        <v>644</v>
      </c>
      <c r="AK68" s="205"/>
      <c r="AL68" s="205"/>
      <c r="AM68" s="206"/>
      <c r="AN68"/>
      <c r="AP68" t="s">
        <v>66</v>
      </c>
      <c r="AQ68" s="4" t="s">
        <v>166</v>
      </c>
      <c r="AR68" s="1">
        <v>36599</v>
      </c>
      <c r="AS68" s="1">
        <v>4986.853839439999</v>
      </c>
      <c r="AT68" s="1">
        <v>2493.4269197199997</v>
      </c>
      <c r="AU68" s="1">
        <v>11560.43390052</v>
      </c>
      <c r="AV68" s="1">
        <v>573.4881915356</v>
      </c>
      <c r="AW68" s="1">
        <v>398.9483071551999</v>
      </c>
      <c r="AX68" s="1">
        <v>1645.6617670151998</v>
      </c>
      <c r="AY68" s="1">
        <f t="shared" si="30"/>
        <v>104.9483390510148</v>
      </c>
      <c r="AZ68" s="1">
        <f t="shared" si="31"/>
        <v>61.34860107566121</v>
      </c>
      <c r="BA68" s="1">
        <f t="shared" si="32"/>
        <v>144.87068722602083</v>
      </c>
      <c r="BB68" s="1">
        <f t="shared" si="33"/>
        <v>33.2623151090648</v>
      </c>
      <c r="BC68" s="1">
        <f t="shared" si="34"/>
        <v>0</v>
      </c>
      <c r="BD68" s="1">
        <f t="shared" si="35"/>
        <v>79.6665709177211</v>
      </c>
      <c r="BE68" s="1">
        <f t="shared" si="80"/>
        <v>286.7440957678</v>
      </c>
      <c r="BF68" s="1">
        <f t="shared" si="81"/>
        <v>141.07809511775758</v>
      </c>
      <c r="BG68" s="1">
        <f t="shared" si="82"/>
        <v>573.4881915356</v>
      </c>
      <c r="BH68" s="1">
        <f t="shared" si="83"/>
        <v>57.34881915356</v>
      </c>
      <c r="BI68" s="1">
        <f t="shared" si="84"/>
        <v>38.25166237542452</v>
      </c>
      <c r="BJ68" s="1">
        <f t="shared" si="85"/>
        <v>86.02322873034001</v>
      </c>
      <c r="BL68" s="2">
        <v>0.96</v>
      </c>
      <c r="BM68" s="2">
        <v>0</v>
      </c>
      <c r="BO68" s="1">
        <f t="shared" si="42"/>
        <v>104.9483390510148</v>
      </c>
      <c r="BP68" s="1">
        <f t="shared" si="43"/>
        <v>61.34860107566121</v>
      </c>
      <c r="BQ68" s="1">
        <f t="shared" si="44"/>
        <v>144.87068722602083</v>
      </c>
      <c r="BR68" s="1">
        <f t="shared" si="45"/>
        <v>7.716857105303035</v>
      </c>
      <c r="BS68" s="1">
        <f t="shared" si="46"/>
        <v>0</v>
      </c>
      <c r="BT68" s="1">
        <f t="shared" si="47"/>
        <v>18.482644452911295</v>
      </c>
      <c r="BU68" s="1">
        <f t="shared" si="48"/>
        <v>286.7440957678</v>
      </c>
      <c r="BV68" s="1">
        <f t="shared" si="49"/>
        <v>141.07809511775758</v>
      </c>
      <c r="BW68" s="1">
        <f t="shared" si="50"/>
        <v>573.4881915356</v>
      </c>
      <c r="BX68" s="1">
        <f t="shared" si="51"/>
        <v>57.34881915356</v>
      </c>
      <c r="BY68" s="1">
        <f t="shared" si="52"/>
        <v>38.25166237542452</v>
      </c>
      <c r="BZ68" s="1">
        <f t="shared" si="53"/>
        <v>86.02322873034001</v>
      </c>
      <c r="CA68" s="1">
        <f t="shared" si="54"/>
        <v>547.9427335318383</v>
      </c>
      <c r="CB68" s="1">
        <f t="shared" si="55"/>
        <v>398.9483071551999</v>
      </c>
      <c r="CC68" s="1">
        <f t="shared" si="56"/>
        <v>1584.47784055039</v>
      </c>
      <c r="CD68" s="1">
        <f t="shared" si="65"/>
        <v>4795.358652005503</v>
      </c>
      <c r="CE68" s="1">
        <f t="shared" si="66"/>
        <v>2397.6793260027516</v>
      </c>
      <c r="CF68" s="1">
        <f t="shared" si="67"/>
        <v>11116.513238740032</v>
      </c>
      <c r="CG68" t="s">
        <v>66</v>
      </c>
      <c r="CH68" s="4" t="s">
        <v>166</v>
      </c>
      <c r="CI68" s="1">
        <v>36599</v>
      </c>
      <c r="CJ68" s="102">
        <v>0</v>
      </c>
      <c r="CK68" s="1">
        <v>8.718007</v>
      </c>
      <c r="CL68" s="1">
        <f t="shared" si="57"/>
        <v>8.718007</v>
      </c>
      <c r="CM68" s="1">
        <v>0</v>
      </c>
      <c r="CN68" s="1">
        <v>8.85213018461539</v>
      </c>
      <c r="CO68" s="1">
        <f t="shared" si="58"/>
        <v>8.85213018461539</v>
      </c>
      <c r="CP68" s="1">
        <f t="shared" si="68"/>
        <v>2.9176621088492327</v>
      </c>
      <c r="CQ68" s="1">
        <f t="shared" si="69"/>
        <v>1.5446967172153856</v>
      </c>
      <c r="CR68" s="1">
        <f t="shared" si="70"/>
        <v>4.033030512110772</v>
      </c>
      <c r="CS68" s="1">
        <f t="shared" si="71"/>
        <v>0.5218158018348504</v>
      </c>
      <c r="CT68" s="1">
        <f t="shared" si="72"/>
        <v>0.06349422457253481</v>
      </c>
      <c r="CU68" s="1">
        <f t="shared" si="73"/>
        <v>1.024992569405109</v>
      </c>
    </row>
    <row r="69" spans="1:99" ht="12.75">
      <c r="A69" t="s">
        <v>67</v>
      </c>
      <c r="B69" s="1">
        <v>15156449</v>
      </c>
      <c r="C69" s="4" t="s">
        <v>62</v>
      </c>
      <c r="D69" s="113">
        <v>2</v>
      </c>
      <c r="E69" s="29">
        <v>8</v>
      </c>
      <c r="F69" s="116">
        <v>60</v>
      </c>
      <c r="G69" s="113">
        <v>13</v>
      </c>
      <c r="H69" s="115">
        <v>5.4</v>
      </c>
      <c r="I69" s="1">
        <f t="shared" si="74"/>
        <v>303128.98</v>
      </c>
      <c r="J69" s="1">
        <f t="shared" si="75"/>
        <v>1212515.92</v>
      </c>
      <c r="K69" s="1">
        <f t="shared" si="76"/>
        <v>9093869.4</v>
      </c>
      <c r="L69" s="1">
        <f t="shared" si="77"/>
        <v>1970338.37</v>
      </c>
      <c r="M69" s="1">
        <f t="shared" si="78"/>
        <v>818448.246</v>
      </c>
      <c r="N69" s="12">
        <f t="shared" si="59"/>
        <v>-0.15912000000000004</v>
      </c>
      <c r="O69" s="12">
        <f t="shared" si="60"/>
        <v>-0.0032399999999999985</v>
      </c>
      <c r="P69" s="12">
        <f t="shared" si="61"/>
        <v>0.022290000000000008</v>
      </c>
      <c r="Q69" s="12">
        <f t="shared" si="62"/>
        <v>-0.31344000000000005</v>
      </c>
      <c r="R69" s="12">
        <f t="shared" si="63"/>
        <v>-0.07108199999999999</v>
      </c>
      <c r="S69" s="1">
        <f t="shared" si="15"/>
        <v>1585209.36336224</v>
      </c>
      <c r="T69" s="2">
        <f t="shared" si="79"/>
        <v>0.10458975999999999</v>
      </c>
      <c r="U69" s="1">
        <f t="shared" si="17"/>
        <v>182299.0767866576</v>
      </c>
      <c r="V69" s="1">
        <f t="shared" si="18"/>
        <v>95518.37539875515</v>
      </c>
      <c r="W69" s="1">
        <f t="shared" si="19"/>
        <v>47759.18769937757</v>
      </c>
      <c r="X69" s="1">
        <f t="shared" si="20"/>
        <v>221428.9611516596</v>
      </c>
      <c r="Y69" s="1">
        <f t="shared" si="21"/>
        <v>14710.742892001588</v>
      </c>
      <c r="Z69" s="1">
        <f t="shared" si="22"/>
        <v>7355.371446000794</v>
      </c>
      <c r="AA69" s="1">
        <f t="shared" si="23"/>
        <v>34102.17670418549</v>
      </c>
      <c r="AB69" s="1">
        <f t="shared" si="24"/>
        <v>431938.3545959394</v>
      </c>
      <c r="AC69" s="1">
        <f t="shared" si="25"/>
        <v>215969.1772979697</v>
      </c>
      <c r="AD69" s="1">
        <f t="shared" si="26"/>
        <v>1001311.6401996776</v>
      </c>
      <c r="AE69" s="1">
        <f t="shared" si="27"/>
        <v>255658.38117034276</v>
      </c>
      <c r="AF69" s="1">
        <f t="shared" si="28"/>
        <v>127829.19058517138</v>
      </c>
      <c r="AG69" s="1">
        <f t="shared" si="29"/>
        <v>592662.6108948855</v>
      </c>
      <c r="AH69"/>
      <c r="AI69"/>
      <c r="AJ69" s="211" t="s">
        <v>645</v>
      </c>
      <c r="AK69" s="219"/>
      <c r="AL69" s="219"/>
      <c r="AM69" s="220"/>
      <c r="AN69"/>
      <c r="AP69" t="s">
        <v>67</v>
      </c>
      <c r="AQ69" s="4" t="s">
        <v>166</v>
      </c>
      <c r="AR69" s="1">
        <v>15156449</v>
      </c>
      <c r="AS69" s="1">
        <v>1585209.36336224</v>
      </c>
      <c r="AT69" s="1">
        <v>792604.68168112</v>
      </c>
      <c r="AU69" s="1">
        <v>3674803.5241579195</v>
      </c>
      <c r="AV69" s="1">
        <v>182299.0767866576</v>
      </c>
      <c r="AW69" s="1">
        <v>126816.74906897919</v>
      </c>
      <c r="AX69" s="1">
        <v>523119.0899095392</v>
      </c>
      <c r="AY69" s="1">
        <f t="shared" si="30"/>
        <v>33360.73105195834</v>
      </c>
      <c r="AZ69" s="1">
        <f t="shared" si="31"/>
        <v>19501.348943732766</v>
      </c>
      <c r="BA69" s="1">
        <f t="shared" si="32"/>
        <v>46051.153144123295</v>
      </c>
      <c r="BB69" s="1">
        <f t="shared" si="33"/>
        <v>10573.346453626142</v>
      </c>
      <c r="BC69" s="1">
        <f t="shared" si="34"/>
        <v>0</v>
      </c>
      <c r="BD69" s="1">
        <f t="shared" si="35"/>
        <v>25324.22209107997</v>
      </c>
      <c r="BE69" s="1">
        <f t="shared" si="80"/>
        <v>91149.5383933288</v>
      </c>
      <c r="BF69" s="1">
        <f t="shared" si="81"/>
        <v>44845.57288951777</v>
      </c>
      <c r="BG69" s="1">
        <f t="shared" si="82"/>
        <v>182299.0767866576</v>
      </c>
      <c r="BH69" s="1">
        <f t="shared" si="83"/>
        <v>18229.90767866576</v>
      </c>
      <c r="BI69" s="1">
        <f t="shared" si="84"/>
        <v>12159.348421670064</v>
      </c>
      <c r="BJ69" s="1">
        <f t="shared" si="85"/>
        <v>27344.86151799864</v>
      </c>
      <c r="BL69" s="2">
        <v>0.96</v>
      </c>
      <c r="BM69" s="2">
        <v>0.24</v>
      </c>
      <c r="BO69" s="1">
        <f t="shared" si="42"/>
        <v>28716.91728952574</v>
      </c>
      <c r="BP69" s="1">
        <f t="shared" si="43"/>
        <v>16786.761170765167</v>
      </c>
      <c r="BQ69" s="1">
        <f t="shared" si="44"/>
        <v>39640.832626461335</v>
      </c>
      <c r="BR69" s="1">
        <f t="shared" si="45"/>
        <v>2453.016377241265</v>
      </c>
      <c r="BS69" s="1">
        <f t="shared" si="46"/>
        <v>0</v>
      </c>
      <c r="BT69" s="1">
        <f t="shared" si="47"/>
        <v>5875.219525130553</v>
      </c>
      <c r="BU69" s="1">
        <f t="shared" si="48"/>
        <v>91149.5383933288</v>
      </c>
      <c r="BV69" s="1">
        <f t="shared" si="49"/>
        <v>44845.57288951777</v>
      </c>
      <c r="BW69" s="1">
        <f t="shared" si="50"/>
        <v>182299.0767866576</v>
      </c>
      <c r="BX69" s="1">
        <f t="shared" si="51"/>
        <v>18229.90767866576</v>
      </c>
      <c r="BY69" s="1">
        <f t="shared" si="52"/>
        <v>12159.348421670064</v>
      </c>
      <c r="BZ69" s="1">
        <f t="shared" si="53"/>
        <v>27344.86151799864</v>
      </c>
      <c r="CA69" s="1">
        <f t="shared" si="54"/>
        <v>169534.9329478401</v>
      </c>
      <c r="CB69" s="1">
        <f t="shared" si="55"/>
        <v>124102.16129601159</v>
      </c>
      <c r="CC69" s="1">
        <f t="shared" si="56"/>
        <v>497259.7668259278</v>
      </c>
      <c r="CD69" s="1">
        <f t="shared" si="65"/>
        <v>1497705.8065046442</v>
      </c>
      <c r="CE69" s="1">
        <f t="shared" si="66"/>
        <v>748852.9032523221</v>
      </c>
      <c r="CF69" s="1">
        <f t="shared" si="67"/>
        <v>3471954.3696244024</v>
      </c>
      <c r="CG69" t="s">
        <v>67</v>
      </c>
      <c r="CH69" s="4" t="s">
        <v>166</v>
      </c>
      <c r="CI69" s="1">
        <v>15156449</v>
      </c>
      <c r="CJ69" s="102">
        <v>691.6375</v>
      </c>
      <c r="CK69" s="1">
        <v>3218.347</v>
      </c>
      <c r="CL69" s="1">
        <f t="shared" si="57"/>
        <v>3909.9845000000005</v>
      </c>
      <c r="CM69" s="1">
        <v>563.078398486759</v>
      </c>
      <c r="CN69" s="1">
        <v>2515.79514051228</v>
      </c>
      <c r="CO69" s="1">
        <f t="shared" si="58"/>
        <v>3078.873538999039</v>
      </c>
      <c r="CP69" s="1">
        <f t="shared" si="68"/>
        <v>915.5423932197634</v>
      </c>
      <c r="CQ69" s="1">
        <f t="shared" si="69"/>
        <v>473.98976369980375</v>
      </c>
      <c r="CR69" s="1">
        <f t="shared" si="70"/>
        <v>1289.2368869186146</v>
      </c>
      <c r="CS69" s="1">
        <f t="shared" si="71"/>
        <v>181.49358753140515</v>
      </c>
      <c r="CT69" s="1">
        <f t="shared" si="72"/>
        <v>22.08402766775777</v>
      </c>
      <c r="CU69" s="1">
        <f t="shared" si="73"/>
        <v>356.5043027831544</v>
      </c>
    </row>
    <row r="70" spans="1:99" ht="12.75">
      <c r="A70" t="s">
        <v>68</v>
      </c>
      <c r="B70" s="1">
        <v>1219437</v>
      </c>
      <c r="C70" s="4" t="s">
        <v>62</v>
      </c>
      <c r="D70" s="113">
        <v>0.5</v>
      </c>
      <c r="E70" s="113">
        <v>6</v>
      </c>
      <c r="F70" s="113">
        <v>42</v>
      </c>
      <c r="G70" s="113">
        <v>5</v>
      </c>
      <c r="H70" s="107">
        <v>6</v>
      </c>
      <c r="I70" s="1">
        <f t="shared" si="74"/>
        <v>6097.185</v>
      </c>
      <c r="J70" s="1">
        <f t="shared" si="75"/>
        <v>73166.22</v>
      </c>
      <c r="K70" s="1">
        <f t="shared" si="76"/>
        <v>512163.54</v>
      </c>
      <c r="L70" s="1">
        <f t="shared" si="77"/>
        <v>60971.85</v>
      </c>
      <c r="M70" s="1">
        <f t="shared" si="78"/>
        <v>73166.22</v>
      </c>
      <c r="N70" s="12">
        <f t="shared" si="59"/>
        <v>-0.17112000000000002</v>
      </c>
      <c r="O70" s="12">
        <f t="shared" si="60"/>
        <v>-0.01124</v>
      </c>
      <c r="P70" s="12">
        <f t="shared" si="61"/>
        <v>-0.03170999999999999</v>
      </c>
      <c r="Q70" s="12">
        <f t="shared" si="62"/>
        <v>-0.37744000000000005</v>
      </c>
      <c r="R70" s="12">
        <f t="shared" si="63"/>
        <v>-0.06514199999999999</v>
      </c>
      <c r="S70" s="1">
        <f t="shared" si="15"/>
        <v>92112.07611671997</v>
      </c>
      <c r="T70" s="2">
        <f t="shared" si="79"/>
        <v>0.07553655999999997</v>
      </c>
      <c r="U70" s="1">
        <f t="shared" si="17"/>
        <v>10592.888753422796</v>
      </c>
      <c r="V70" s="1">
        <f t="shared" si="18"/>
        <v>6447.845328170399</v>
      </c>
      <c r="W70" s="1">
        <f t="shared" si="19"/>
        <v>3223.9226640851994</v>
      </c>
      <c r="X70" s="1">
        <f t="shared" si="20"/>
        <v>14947.277806213195</v>
      </c>
      <c r="Y70" s="1">
        <f t="shared" si="21"/>
        <v>972.7035237925625</v>
      </c>
      <c r="Z70" s="1">
        <f t="shared" si="22"/>
        <v>486.35176189628123</v>
      </c>
      <c r="AA70" s="1">
        <f t="shared" si="23"/>
        <v>2254.9036233373045</v>
      </c>
      <c r="AB70" s="1">
        <f t="shared" si="24"/>
        <v>25587.526234786154</v>
      </c>
      <c r="AC70" s="1">
        <f t="shared" si="25"/>
        <v>12793.763117393077</v>
      </c>
      <c r="AD70" s="1">
        <f t="shared" si="26"/>
        <v>59316.53808973153</v>
      </c>
      <c r="AE70" s="1">
        <f t="shared" si="27"/>
        <v>15144.905437857129</v>
      </c>
      <c r="AF70" s="1">
        <f t="shared" si="28"/>
        <v>7572.4527189285645</v>
      </c>
      <c r="AG70" s="1">
        <f t="shared" si="29"/>
        <v>35108.64442412335</v>
      </c>
      <c r="AH70"/>
      <c r="AI70"/>
      <c r="AJ70" s="211" t="s">
        <v>646</v>
      </c>
      <c r="AK70" s="219"/>
      <c r="AL70" s="219"/>
      <c r="AM70" s="220"/>
      <c r="AN70"/>
      <c r="AP70" t="s">
        <v>68</v>
      </c>
      <c r="AQ70" s="4" t="s">
        <v>166</v>
      </c>
      <c r="AR70" s="1">
        <v>1219437</v>
      </c>
      <c r="AS70" s="1">
        <v>92112.07611671997</v>
      </c>
      <c r="AT70" s="1">
        <v>46056.03805835998</v>
      </c>
      <c r="AU70" s="1">
        <v>213532.5400887599</v>
      </c>
      <c r="AV70" s="1">
        <v>10592.888753422796</v>
      </c>
      <c r="AW70" s="1">
        <v>7368.966089337598</v>
      </c>
      <c r="AX70" s="1">
        <v>30396.98511851759</v>
      </c>
      <c r="AY70" s="1">
        <f t="shared" si="30"/>
        <v>1938.4986418763717</v>
      </c>
      <c r="AZ70" s="1">
        <f t="shared" si="31"/>
        <v>1133.1687660952518</v>
      </c>
      <c r="BA70" s="1">
        <f t="shared" si="32"/>
        <v>2675.9035252461435</v>
      </c>
      <c r="BB70" s="1">
        <f t="shared" si="33"/>
        <v>614.3875476985222</v>
      </c>
      <c r="BC70" s="1">
        <f t="shared" si="34"/>
        <v>0</v>
      </c>
      <c r="BD70" s="1">
        <f t="shared" si="35"/>
        <v>1471.5196154927305</v>
      </c>
      <c r="BE70" s="1">
        <f t="shared" si="80"/>
        <v>5296.444376711398</v>
      </c>
      <c r="BF70" s="1">
        <f t="shared" si="81"/>
        <v>2605.8506333420078</v>
      </c>
      <c r="BG70" s="1">
        <f t="shared" si="82"/>
        <v>10592.888753422796</v>
      </c>
      <c r="BH70" s="1">
        <f t="shared" si="83"/>
        <v>1059.2888753422797</v>
      </c>
      <c r="BI70" s="1">
        <f t="shared" si="84"/>
        <v>706.5456798533006</v>
      </c>
      <c r="BJ70" s="1">
        <f t="shared" si="85"/>
        <v>1588.9333130134196</v>
      </c>
      <c r="BL70" s="2">
        <v>0.92</v>
      </c>
      <c r="BM70" s="2">
        <v>0</v>
      </c>
      <c r="BO70" s="1">
        <f t="shared" si="42"/>
        <v>1938.4986418763717</v>
      </c>
      <c r="BP70" s="1">
        <f t="shared" si="43"/>
        <v>1133.1687660952518</v>
      </c>
      <c r="BQ70" s="1">
        <f t="shared" si="44"/>
        <v>2675.9035252461435</v>
      </c>
      <c r="BR70" s="1">
        <f t="shared" si="45"/>
        <v>162.19831259240982</v>
      </c>
      <c r="BS70" s="1">
        <f t="shared" si="46"/>
        <v>0</v>
      </c>
      <c r="BT70" s="1">
        <f t="shared" si="47"/>
        <v>388.48117849008077</v>
      </c>
      <c r="BU70" s="1">
        <f t="shared" si="48"/>
        <v>5296.444376711398</v>
      </c>
      <c r="BV70" s="1">
        <f t="shared" si="49"/>
        <v>2605.8506333420078</v>
      </c>
      <c r="BW70" s="1">
        <f t="shared" si="50"/>
        <v>10592.888753422796</v>
      </c>
      <c r="BX70" s="1">
        <f t="shared" si="51"/>
        <v>1059.2888753422797</v>
      </c>
      <c r="BY70" s="1">
        <f t="shared" si="52"/>
        <v>706.5456798533006</v>
      </c>
      <c r="BZ70" s="1">
        <f t="shared" si="53"/>
        <v>1588.9333130134196</v>
      </c>
      <c r="CA70" s="1">
        <f t="shared" si="54"/>
        <v>10140.699518316684</v>
      </c>
      <c r="CB70" s="1">
        <f t="shared" si="55"/>
        <v>7368.966089337598</v>
      </c>
      <c r="CC70" s="1">
        <f t="shared" si="56"/>
        <v>29313.94668151494</v>
      </c>
      <c r="CD70" s="1">
        <f t="shared" si="65"/>
        <v>88722.35171562467</v>
      </c>
      <c r="CE70" s="1">
        <f t="shared" si="66"/>
        <v>44361.17585781233</v>
      </c>
      <c r="CF70" s="1">
        <f t="shared" si="67"/>
        <v>205674.54261349354</v>
      </c>
      <c r="CG70" t="s">
        <v>68</v>
      </c>
      <c r="CH70" s="4" t="s">
        <v>166</v>
      </c>
      <c r="CI70" s="1">
        <v>1219437</v>
      </c>
      <c r="CJ70" s="102">
        <v>18.94516</v>
      </c>
      <c r="CK70" s="1">
        <v>128.6987</v>
      </c>
      <c r="CL70" s="1">
        <f t="shared" si="57"/>
        <v>147.64386000000002</v>
      </c>
      <c r="CM70" s="1">
        <v>18.7975353766234</v>
      </c>
      <c r="CN70" s="1">
        <v>125.933688867187</v>
      </c>
      <c r="CO70" s="1">
        <f t="shared" si="58"/>
        <v>144.7312242438104</v>
      </c>
      <c r="CP70" s="1">
        <f t="shared" si="68"/>
        <v>47.703411510759906</v>
      </c>
      <c r="CQ70" s="1">
        <f t="shared" si="69"/>
        <v>25.255598630544913</v>
      </c>
      <c r="CR70" s="1">
        <f t="shared" si="70"/>
        <v>65.93954576548002</v>
      </c>
      <c r="CS70" s="1">
        <f t="shared" si="71"/>
        <v>9.63009881421352</v>
      </c>
      <c r="CT70" s="1">
        <f t="shared" si="72"/>
        <v>1.1801444104919379</v>
      </c>
      <c r="CU70" s="1">
        <f t="shared" si="73"/>
        <v>18.770236588478625</v>
      </c>
    </row>
    <row r="71" spans="1:99" ht="12.75">
      <c r="A71" t="s">
        <v>69</v>
      </c>
      <c r="B71" s="1">
        <v>4497661</v>
      </c>
      <c r="C71" s="4" t="s">
        <v>62</v>
      </c>
      <c r="D71" s="113">
        <v>3</v>
      </c>
      <c r="E71" s="115">
        <v>5.3</v>
      </c>
      <c r="F71" s="115">
        <v>66.5</v>
      </c>
      <c r="G71" s="116">
        <v>15</v>
      </c>
      <c r="H71" s="115">
        <v>6.6</v>
      </c>
      <c r="I71" s="1">
        <f t="shared" si="74"/>
        <v>134929.83</v>
      </c>
      <c r="J71" s="1">
        <f t="shared" si="75"/>
        <v>238376.033</v>
      </c>
      <c r="K71" s="1">
        <f t="shared" si="76"/>
        <v>2990944.565</v>
      </c>
      <c r="L71" s="1">
        <f t="shared" si="77"/>
        <v>674649.15</v>
      </c>
      <c r="M71" s="1">
        <f t="shared" si="78"/>
        <v>296845.626</v>
      </c>
      <c r="N71" s="12">
        <f t="shared" si="59"/>
        <v>-0.15112000000000003</v>
      </c>
      <c r="O71" s="12">
        <f t="shared" si="60"/>
        <v>-0.01404</v>
      </c>
      <c r="P71" s="12">
        <f t="shared" si="61"/>
        <v>0.04179000000000003</v>
      </c>
      <c r="Q71" s="12">
        <f t="shared" si="62"/>
        <v>-0.29744000000000004</v>
      </c>
      <c r="R71" s="12">
        <f t="shared" si="63"/>
        <v>-0.05920199999999999</v>
      </c>
      <c r="S71" s="1">
        <f t="shared" si="15"/>
        <v>514520.5445749599</v>
      </c>
      <c r="T71" s="2">
        <f t="shared" si="79"/>
        <v>0.11439735999999998</v>
      </c>
      <c r="U71" s="1">
        <f t="shared" si="17"/>
        <v>59169.86262612039</v>
      </c>
      <c r="V71" s="1">
        <f t="shared" si="18"/>
        <v>31420.740616103656</v>
      </c>
      <c r="W71" s="1">
        <f t="shared" si="19"/>
        <v>15710.370308051828</v>
      </c>
      <c r="X71" s="1">
        <f t="shared" si="20"/>
        <v>72838.98961005846</v>
      </c>
      <c r="Y71" s="1">
        <f t="shared" si="21"/>
        <v>6091.923247767525</v>
      </c>
      <c r="Z71" s="1">
        <f t="shared" si="22"/>
        <v>3045.9616238837625</v>
      </c>
      <c r="AA71" s="1">
        <f t="shared" si="23"/>
        <v>14122.1857107338</v>
      </c>
      <c r="AB71" s="1">
        <f t="shared" si="24"/>
        <v>140879.30616761424</v>
      </c>
      <c r="AC71" s="1">
        <f t="shared" si="25"/>
        <v>70439.65308380712</v>
      </c>
      <c r="AD71" s="1">
        <f t="shared" si="26"/>
        <v>326583.8461158331</v>
      </c>
      <c r="AE71" s="1">
        <f t="shared" si="27"/>
        <v>83384.526916823</v>
      </c>
      <c r="AF71" s="1">
        <f t="shared" si="28"/>
        <v>41692.2634584115</v>
      </c>
      <c r="AG71" s="1">
        <f t="shared" si="29"/>
        <v>193300.4942162715</v>
      </c>
      <c r="AH71"/>
      <c r="AI71"/>
      <c r="AJ71" s="211" t="s">
        <v>647</v>
      </c>
      <c r="AK71" s="219"/>
      <c r="AL71" s="219"/>
      <c r="AM71" s="220"/>
      <c r="AN71"/>
      <c r="AP71" t="s">
        <v>69</v>
      </c>
      <c r="AQ71" s="4" t="s">
        <v>166</v>
      </c>
      <c r="AR71" s="1">
        <v>4497661</v>
      </c>
      <c r="AS71" s="1">
        <v>514520.5445749599</v>
      </c>
      <c r="AT71" s="1">
        <v>257260.27228747995</v>
      </c>
      <c r="AU71" s="1">
        <v>1192752.1715146797</v>
      </c>
      <c r="AV71" s="1">
        <v>59169.86262612039</v>
      </c>
      <c r="AW71" s="1">
        <v>41161.64356599679</v>
      </c>
      <c r="AX71" s="1">
        <v>169791.7797097368</v>
      </c>
      <c r="AY71" s="1">
        <f t="shared" si="30"/>
        <v>10828.084860580031</v>
      </c>
      <c r="AZ71" s="1">
        <f t="shared" si="31"/>
        <v>6329.665286100662</v>
      </c>
      <c r="BA71" s="1">
        <f t="shared" si="32"/>
        <v>14947.088341544675</v>
      </c>
      <c r="BB71" s="1">
        <f t="shared" si="33"/>
        <v>3431.852032314983</v>
      </c>
      <c r="BC71" s="1">
        <f t="shared" si="34"/>
        <v>0</v>
      </c>
      <c r="BD71" s="1">
        <f t="shared" si="35"/>
        <v>8219.628802597614</v>
      </c>
      <c r="BE71" s="1">
        <f t="shared" si="80"/>
        <v>29584.931313060195</v>
      </c>
      <c r="BF71" s="1">
        <f t="shared" si="81"/>
        <v>14555.786206025616</v>
      </c>
      <c r="BG71" s="1">
        <f t="shared" si="82"/>
        <v>59169.86262612039</v>
      </c>
      <c r="BH71" s="1">
        <f t="shared" si="83"/>
        <v>5916.986262612039</v>
      </c>
      <c r="BI71" s="1">
        <f t="shared" si="84"/>
        <v>3946.6298371622306</v>
      </c>
      <c r="BJ71" s="1">
        <f t="shared" si="85"/>
        <v>8875.47939391806</v>
      </c>
      <c r="BL71" s="2">
        <v>0.88</v>
      </c>
      <c r="BM71" s="2">
        <v>0.22</v>
      </c>
      <c r="BO71" s="1">
        <f t="shared" si="42"/>
        <v>9446.42123237002</v>
      </c>
      <c r="BP71" s="1">
        <f t="shared" si="43"/>
        <v>5521.999995594218</v>
      </c>
      <c r="BQ71" s="1">
        <f t="shared" si="44"/>
        <v>13039.839869163574</v>
      </c>
      <c r="BR71" s="1">
        <f t="shared" si="45"/>
        <v>1015.8282015652348</v>
      </c>
      <c r="BS71" s="1">
        <f t="shared" si="46"/>
        <v>0</v>
      </c>
      <c r="BT71" s="1">
        <f t="shared" si="47"/>
        <v>2433.0101255688933</v>
      </c>
      <c r="BU71" s="1">
        <f t="shared" si="48"/>
        <v>29584.931313060195</v>
      </c>
      <c r="BV71" s="1">
        <f t="shared" si="49"/>
        <v>14555.786206025616</v>
      </c>
      <c r="BW71" s="1">
        <f t="shared" si="50"/>
        <v>59169.86262612039</v>
      </c>
      <c r="BX71" s="1">
        <f t="shared" si="51"/>
        <v>5916.986262612039</v>
      </c>
      <c r="BY71" s="1">
        <f t="shared" si="52"/>
        <v>3946.6298371622306</v>
      </c>
      <c r="BZ71" s="1">
        <f t="shared" si="53"/>
        <v>8875.47939391806</v>
      </c>
      <c r="CA71" s="1">
        <f t="shared" si="54"/>
        <v>55372.17516716063</v>
      </c>
      <c r="CB71" s="1">
        <f t="shared" si="55"/>
        <v>40353.97827549034</v>
      </c>
      <c r="CC71" s="1">
        <f t="shared" si="56"/>
        <v>162097.91256032698</v>
      </c>
      <c r="CD71" s="1">
        <f t="shared" si="65"/>
        <v>488485.8050194669</v>
      </c>
      <c r="CE71" s="1">
        <f t="shared" si="66"/>
        <v>244242.90250973345</v>
      </c>
      <c r="CF71" s="1">
        <f t="shared" si="67"/>
        <v>1132398.911636037</v>
      </c>
      <c r="CG71" t="s">
        <v>69</v>
      </c>
      <c r="CH71" s="4" t="s">
        <v>166</v>
      </c>
      <c r="CI71" s="1">
        <v>4497661</v>
      </c>
      <c r="CJ71" s="102">
        <v>378.6747</v>
      </c>
      <c r="CK71" s="1">
        <v>1300.414</v>
      </c>
      <c r="CL71" s="1">
        <f t="shared" si="57"/>
        <v>1679.0887</v>
      </c>
      <c r="CM71" s="1">
        <v>352.643615733406</v>
      </c>
      <c r="CN71" s="1">
        <v>1177.54177437284</v>
      </c>
      <c r="CO71" s="1">
        <f t="shared" si="58"/>
        <v>1530.1853901062461</v>
      </c>
      <c r="CP71" s="1">
        <f t="shared" si="68"/>
        <v>459.31140001261025</v>
      </c>
      <c r="CQ71" s="1">
        <f t="shared" si="69"/>
        <v>238.25087834782457</v>
      </c>
      <c r="CR71" s="1">
        <f t="shared" si="70"/>
        <v>645.7353497970482</v>
      </c>
      <c r="CS71" s="1">
        <f t="shared" si="71"/>
        <v>113.24309364889807</v>
      </c>
      <c r="CT71" s="1">
        <f t="shared" si="72"/>
        <v>13.975769274631844</v>
      </c>
      <c r="CU71" s="1">
        <f t="shared" si="73"/>
        <v>219.0611314553879</v>
      </c>
    </row>
    <row r="72" spans="1:99" ht="12.75">
      <c r="A72" t="s">
        <v>70</v>
      </c>
      <c r="B72" s="1">
        <v>362979</v>
      </c>
      <c r="C72" s="4" t="s">
        <v>62</v>
      </c>
      <c r="D72" s="113">
        <v>1</v>
      </c>
      <c r="E72" s="113">
        <v>7</v>
      </c>
      <c r="F72" s="113">
        <v>85</v>
      </c>
      <c r="G72" s="107">
        <v>10</v>
      </c>
      <c r="H72" s="107">
        <v>6</v>
      </c>
      <c r="I72" s="1">
        <f t="shared" si="74"/>
        <v>3629.79</v>
      </c>
      <c r="J72" s="1">
        <f t="shared" si="75"/>
        <v>25408.53</v>
      </c>
      <c r="K72" s="1">
        <f t="shared" si="76"/>
        <v>308532.15</v>
      </c>
      <c r="L72" s="1">
        <f t="shared" si="77"/>
        <v>36297.9</v>
      </c>
      <c r="M72" s="1">
        <f t="shared" si="78"/>
        <v>21778.74</v>
      </c>
      <c r="N72" s="12">
        <f t="shared" si="59"/>
        <v>-0.16712000000000002</v>
      </c>
      <c r="O72" s="12">
        <f t="shared" si="60"/>
        <v>-0.0072399999999999964</v>
      </c>
      <c r="P72" s="12">
        <f t="shared" si="61"/>
        <v>0.09729</v>
      </c>
      <c r="Q72" s="12">
        <f t="shared" si="62"/>
        <v>-0.3374400000000001</v>
      </c>
      <c r="R72" s="12">
        <f t="shared" si="63"/>
        <v>-0.06514199999999999</v>
      </c>
      <c r="S72" s="1">
        <f t="shared" si="15"/>
        <v>41552.58727223999</v>
      </c>
      <c r="T72" s="2">
        <f t="shared" si="79"/>
        <v>0.11447655999999996</v>
      </c>
      <c r="U72" s="1">
        <f t="shared" si="17"/>
        <v>4778.547536307598</v>
      </c>
      <c r="V72" s="1">
        <f t="shared" si="18"/>
        <v>1272.2571171014442</v>
      </c>
      <c r="W72" s="1">
        <f t="shared" si="19"/>
        <v>636.1285585507221</v>
      </c>
      <c r="X72" s="1">
        <f t="shared" si="20"/>
        <v>2949.3233169169844</v>
      </c>
      <c r="Y72" s="1">
        <f t="shared" si="21"/>
        <v>425.4984936677372</v>
      </c>
      <c r="Z72" s="1">
        <f t="shared" si="22"/>
        <v>212.7492468338686</v>
      </c>
      <c r="AA72" s="1">
        <f t="shared" si="23"/>
        <v>986.3828716843</v>
      </c>
      <c r="AB72" s="1">
        <f t="shared" si="24"/>
        <v>10724.272344919107</v>
      </c>
      <c r="AC72" s="1">
        <f t="shared" si="25"/>
        <v>5362.136172459554</v>
      </c>
      <c r="AD72" s="1">
        <f t="shared" si="26"/>
        <v>24860.81316322157</v>
      </c>
      <c r="AE72" s="1">
        <f t="shared" si="27"/>
        <v>6347.549546732634</v>
      </c>
      <c r="AF72" s="1">
        <f t="shared" si="28"/>
        <v>3173.774773366317</v>
      </c>
      <c r="AG72" s="1">
        <f t="shared" si="29"/>
        <v>14714.773949243836</v>
      </c>
      <c r="AH72"/>
      <c r="AI72"/>
      <c r="AJ72" s="215" t="s">
        <v>648</v>
      </c>
      <c r="AK72" s="221"/>
      <c r="AL72" s="221"/>
      <c r="AM72" s="222"/>
      <c r="AN72"/>
      <c r="AP72" t="s">
        <v>70</v>
      </c>
      <c r="AQ72" s="4" t="s">
        <v>166</v>
      </c>
      <c r="AR72" s="1">
        <v>362979</v>
      </c>
      <c r="AS72" s="1">
        <v>41552.58727223999</v>
      </c>
      <c r="AT72" s="1">
        <v>20776.293636119994</v>
      </c>
      <c r="AU72" s="1">
        <v>96326.45231291997</v>
      </c>
      <c r="AV72" s="1">
        <v>4778.547536307598</v>
      </c>
      <c r="AW72" s="1">
        <v>3324.206981779199</v>
      </c>
      <c r="AX72" s="1">
        <v>13712.353799839197</v>
      </c>
      <c r="AY72" s="1">
        <f t="shared" si="30"/>
        <v>874.4741991442905</v>
      </c>
      <c r="AZ72" s="1">
        <f t="shared" si="31"/>
        <v>511.18263785178647</v>
      </c>
      <c r="BA72" s="1">
        <f t="shared" si="32"/>
        <v>1207.1241844987787</v>
      </c>
      <c r="BB72" s="1">
        <f t="shared" si="33"/>
        <v>277.15575710584073</v>
      </c>
      <c r="BC72" s="1">
        <f t="shared" si="34"/>
        <v>0</v>
      </c>
      <c r="BD72" s="1">
        <f t="shared" si="35"/>
        <v>663.8157538441991</v>
      </c>
      <c r="BE72" s="1">
        <f t="shared" si="80"/>
        <v>2389.273768153799</v>
      </c>
      <c r="BF72" s="1">
        <f t="shared" si="81"/>
        <v>1175.5226939316692</v>
      </c>
      <c r="BG72" s="1">
        <f t="shared" si="82"/>
        <v>4778.547536307598</v>
      </c>
      <c r="BH72" s="1">
        <f t="shared" si="83"/>
        <v>477.8547536307599</v>
      </c>
      <c r="BI72" s="1">
        <f t="shared" si="84"/>
        <v>318.7291206717169</v>
      </c>
      <c r="BJ72" s="1">
        <f t="shared" si="85"/>
        <v>716.7821304461398</v>
      </c>
      <c r="BL72" s="2">
        <v>0.93</v>
      </c>
      <c r="BM72" s="2">
        <v>0.97</v>
      </c>
      <c r="BO72" s="1">
        <f t="shared" si="42"/>
        <v>382.4950147057127</v>
      </c>
      <c r="BP72" s="1">
        <f t="shared" si="43"/>
        <v>223.59128579637144</v>
      </c>
      <c r="BQ72" s="1">
        <f t="shared" si="44"/>
        <v>527.996118299766</v>
      </c>
      <c r="BR72" s="1">
        <f t="shared" si="45"/>
        <v>70.9518738190952</v>
      </c>
      <c r="BS72" s="1">
        <f t="shared" si="46"/>
        <v>0</v>
      </c>
      <c r="BT72" s="1">
        <f t="shared" si="47"/>
        <v>169.93683298411491</v>
      </c>
      <c r="BU72" s="1">
        <f t="shared" si="48"/>
        <v>2389.273768153799</v>
      </c>
      <c r="BV72" s="1">
        <f t="shared" si="49"/>
        <v>1175.5226939316692</v>
      </c>
      <c r="BW72" s="1">
        <f t="shared" si="50"/>
        <v>4778.547536307598</v>
      </c>
      <c r="BX72" s="1">
        <f t="shared" si="51"/>
        <v>477.8547536307599</v>
      </c>
      <c r="BY72" s="1">
        <f t="shared" si="52"/>
        <v>318.7291206717169</v>
      </c>
      <c r="BZ72" s="1">
        <f t="shared" si="53"/>
        <v>716.7821304461398</v>
      </c>
      <c r="CA72" s="1">
        <f t="shared" si="54"/>
        <v>4080.3644685822746</v>
      </c>
      <c r="CB72" s="1">
        <f t="shared" si="55"/>
        <v>3036.615629723784</v>
      </c>
      <c r="CC72" s="1">
        <f t="shared" si="56"/>
        <v>12539.346812780099</v>
      </c>
      <c r="CD72" s="1">
        <f t="shared" si="65"/>
        <v>37185.41034992756</v>
      </c>
      <c r="CE72" s="1">
        <f t="shared" si="66"/>
        <v>18592.70517496378</v>
      </c>
      <c r="CF72" s="1">
        <f t="shared" si="67"/>
        <v>86202.54217483208</v>
      </c>
      <c r="CG72" t="s">
        <v>70</v>
      </c>
      <c r="CH72" s="4" t="s">
        <v>166</v>
      </c>
      <c r="CI72" s="1">
        <v>362979</v>
      </c>
      <c r="CJ72" s="102">
        <v>4.810829</v>
      </c>
      <c r="CK72" s="1">
        <v>19.53457</v>
      </c>
      <c r="CL72" s="1">
        <f t="shared" si="57"/>
        <v>24.345399</v>
      </c>
      <c r="CM72" s="1">
        <v>4.86500500225225</v>
      </c>
      <c r="CN72" s="1">
        <v>19.6071892193309</v>
      </c>
      <c r="CO72" s="1">
        <f t="shared" si="58"/>
        <v>24.47219422158315</v>
      </c>
      <c r="CP72" s="1">
        <f t="shared" si="68"/>
        <v>4.331238105620806</v>
      </c>
      <c r="CQ72" s="1">
        <f t="shared" si="69"/>
        <v>2.0712104291201334</v>
      </c>
      <c r="CR72" s="1">
        <f t="shared" si="70"/>
        <v>6.557671084800095</v>
      </c>
      <c r="CS72" s="1">
        <f t="shared" si="71"/>
        <v>1.582173141118772</v>
      </c>
      <c r="CT72" s="1">
        <f t="shared" si="72"/>
        <v>0.19354822430824056</v>
      </c>
      <c r="CU72" s="1">
        <f t="shared" si="73"/>
        <v>3.0897732160400317</v>
      </c>
    </row>
    <row r="73" spans="1:99" ht="12.75">
      <c r="A73" t="s">
        <v>71</v>
      </c>
      <c r="B73" s="1">
        <v>5924.128084258611</v>
      </c>
      <c r="C73" s="4" t="s">
        <v>62</v>
      </c>
      <c r="D73" s="113">
        <v>3.1</v>
      </c>
      <c r="E73" s="113">
        <v>10.5</v>
      </c>
      <c r="F73" s="113">
        <v>88.5</v>
      </c>
      <c r="G73" s="107">
        <v>10</v>
      </c>
      <c r="H73" s="107">
        <v>6</v>
      </c>
      <c r="I73" s="1">
        <f t="shared" si="74"/>
        <v>183.64797061201693</v>
      </c>
      <c r="J73" s="1">
        <f t="shared" si="75"/>
        <v>622.0334488471541</v>
      </c>
      <c r="K73" s="1">
        <f t="shared" si="76"/>
        <v>5242.853354568871</v>
      </c>
      <c r="L73" s="1">
        <f t="shared" si="77"/>
        <v>592.4128084258612</v>
      </c>
      <c r="M73" s="1">
        <f t="shared" si="78"/>
        <v>355.4476850555166</v>
      </c>
      <c r="N73" s="12">
        <f t="shared" si="59"/>
        <v>-0.15032</v>
      </c>
      <c r="O73" s="12">
        <f t="shared" si="60"/>
        <v>0.0067599999999999995</v>
      </c>
      <c r="P73" s="12">
        <f t="shared" si="61"/>
        <v>0.10779000000000001</v>
      </c>
      <c r="Q73" s="12">
        <f t="shared" si="62"/>
        <v>-0.3374400000000001</v>
      </c>
      <c r="R73" s="12">
        <f t="shared" si="63"/>
        <v>-0.06514199999999999</v>
      </c>
      <c r="S73" s="1">
        <f t="shared" si="15"/>
        <v>732.0004318588897</v>
      </c>
      <c r="T73" s="2">
        <f t="shared" si="79"/>
        <v>0.12356256</v>
      </c>
      <c r="U73" s="1">
        <f t="shared" si="17"/>
        <v>84.18004966377231</v>
      </c>
      <c r="V73" s="1">
        <f t="shared" si="18"/>
        <v>51.24003023012228</v>
      </c>
      <c r="W73" s="1">
        <f t="shared" si="19"/>
        <v>25.62001511506114</v>
      </c>
      <c r="X73" s="1">
        <f t="shared" si="20"/>
        <v>118.78370644255618</v>
      </c>
      <c r="Y73" s="1">
        <f t="shared" si="21"/>
        <v>6.3244837312608055</v>
      </c>
      <c r="Z73" s="1">
        <f t="shared" si="22"/>
        <v>3.1622418656304028</v>
      </c>
      <c r="AA73" s="1">
        <f t="shared" si="23"/>
        <v>14.6613031951955</v>
      </c>
      <c r="AB73" s="1">
        <f t="shared" si="24"/>
        <v>202.8334547058181</v>
      </c>
      <c r="AC73" s="1">
        <f t="shared" si="25"/>
        <v>101.41672735290905</v>
      </c>
      <c r="AD73" s="1">
        <f t="shared" si="26"/>
        <v>470.2048268180328</v>
      </c>
      <c r="AE73" s="1">
        <f t="shared" si="27"/>
        <v>120.05433674855462</v>
      </c>
      <c r="AF73" s="1">
        <f t="shared" si="28"/>
        <v>60.02716837427731</v>
      </c>
      <c r="AG73" s="1">
        <f t="shared" si="29"/>
        <v>278.3077806443766</v>
      </c>
      <c r="AH73"/>
      <c r="AI73"/>
      <c r="AN73"/>
      <c r="AP73" t="s">
        <v>71</v>
      </c>
      <c r="AQ73" s="4" t="s">
        <v>166</v>
      </c>
      <c r="AR73" s="1">
        <v>5924.128084258611</v>
      </c>
      <c r="AS73" s="1">
        <v>732.0004318588897</v>
      </c>
      <c r="AT73" s="1">
        <v>366.00021592944483</v>
      </c>
      <c r="AU73" s="1">
        <v>1696.9100920365167</v>
      </c>
      <c r="AV73" s="1">
        <v>84.18004966377231</v>
      </c>
      <c r="AW73" s="1">
        <v>58.56003454871117</v>
      </c>
      <c r="AX73" s="1">
        <v>241.5601425134336</v>
      </c>
      <c r="AY73" s="1">
        <f t="shared" si="30"/>
        <v>15.404949088470332</v>
      </c>
      <c r="AZ73" s="1">
        <f t="shared" si="31"/>
        <v>9.005117039156216</v>
      </c>
      <c r="BA73" s="1">
        <f t="shared" si="32"/>
        <v>21.264991721724446</v>
      </c>
      <c r="BB73" s="1">
        <f t="shared" si="33"/>
        <v>4.882442880498794</v>
      </c>
      <c r="BC73" s="1">
        <f t="shared" si="34"/>
        <v>0</v>
      </c>
      <c r="BD73" s="1">
        <f t="shared" si="35"/>
        <v>11.69393894308266</v>
      </c>
      <c r="BE73" s="1">
        <f t="shared" si="80"/>
        <v>42.090024831886154</v>
      </c>
      <c r="BF73" s="1">
        <f t="shared" si="81"/>
        <v>20.708292217287987</v>
      </c>
      <c r="BG73" s="1">
        <f t="shared" si="82"/>
        <v>84.18004966377231</v>
      </c>
      <c r="BH73" s="1">
        <f t="shared" si="83"/>
        <v>8.41800496637723</v>
      </c>
      <c r="BI73" s="1">
        <f t="shared" si="84"/>
        <v>5.614809312573613</v>
      </c>
      <c r="BJ73" s="1">
        <f t="shared" si="85"/>
        <v>12.627007449565845</v>
      </c>
      <c r="BL73" s="2">
        <v>0.98</v>
      </c>
      <c r="BM73" s="2">
        <v>0</v>
      </c>
      <c r="BO73" s="1">
        <f t="shared" si="42"/>
        <v>15.404949088470332</v>
      </c>
      <c r="BP73" s="1">
        <f t="shared" si="43"/>
        <v>9.005117039156216</v>
      </c>
      <c r="BQ73" s="1">
        <f t="shared" si="44"/>
        <v>21.264991721724446</v>
      </c>
      <c r="BR73" s="1">
        <f t="shared" si="45"/>
        <v>1.0546076621877396</v>
      </c>
      <c r="BS73" s="1">
        <f t="shared" si="46"/>
        <v>0</v>
      </c>
      <c r="BT73" s="1">
        <f t="shared" si="47"/>
        <v>2.525890811705855</v>
      </c>
      <c r="BU73" s="1">
        <f t="shared" si="48"/>
        <v>42.090024831886154</v>
      </c>
      <c r="BV73" s="1">
        <f t="shared" si="49"/>
        <v>20.708292217287987</v>
      </c>
      <c r="BW73" s="1">
        <f t="shared" si="50"/>
        <v>84.18004966377231</v>
      </c>
      <c r="BX73" s="1">
        <f t="shared" si="51"/>
        <v>8.41800496637723</v>
      </c>
      <c r="BY73" s="1">
        <f t="shared" si="52"/>
        <v>5.614809312573613</v>
      </c>
      <c r="BZ73" s="1">
        <f t="shared" si="53"/>
        <v>12.627007449565845</v>
      </c>
      <c r="CA73" s="1">
        <f t="shared" si="54"/>
        <v>80.35221444546126</v>
      </c>
      <c r="CB73" s="1">
        <f t="shared" si="55"/>
        <v>58.56003454871117</v>
      </c>
      <c r="CC73" s="1">
        <f t="shared" si="56"/>
        <v>232.3920943820568</v>
      </c>
      <c r="CD73" s="1">
        <f t="shared" si="65"/>
        <v>703.3060149300212</v>
      </c>
      <c r="CE73" s="1">
        <f t="shared" si="66"/>
        <v>351.6530074650106</v>
      </c>
      <c r="CF73" s="1">
        <f t="shared" si="67"/>
        <v>1630.3912164286853</v>
      </c>
      <c r="CG73" t="s">
        <v>71</v>
      </c>
      <c r="CH73" s="4" t="s">
        <v>166</v>
      </c>
      <c r="CI73" s="1">
        <v>5924.128084258611</v>
      </c>
      <c r="CJ73" s="102">
        <v>0</v>
      </c>
      <c r="CK73" s="1">
        <v>0.4279476</v>
      </c>
      <c r="CL73" s="1">
        <f t="shared" si="57"/>
        <v>0.4279476</v>
      </c>
      <c r="CM73" s="1">
        <v>0</v>
      </c>
      <c r="CN73" s="1">
        <v>0.2852984</v>
      </c>
      <c r="CO73" s="1">
        <f t="shared" si="58"/>
        <v>0.2852984</v>
      </c>
      <c r="CP73" s="1">
        <f t="shared" si="68"/>
        <v>0.09403435264</v>
      </c>
      <c r="CQ73" s="1">
        <f t="shared" si="69"/>
        <v>0.0497845708</v>
      </c>
      <c r="CR73" s="1">
        <f t="shared" si="70"/>
        <v>0.12998195104000002</v>
      </c>
      <c r="CS73" s="1">
        <f t="shared" si="71"/>
        <v>0.01572185217020656</v>
      </c>
      <c r="CT73" s="1">
        <f t="shared" si="72"/>
        <v>0.0019061910265780841</v>
      </c>
      <c r="CU73" s="1">
        <f t="shared" si="73"/>
        <v>0.031004164288009135</v>
      </c>
    </row>
    <row r="74" spans="1:99" ht="12.75">
      <c r="A74" t="s">
        <v>72</v>
      </c>
      <c r="B74" s="1">
        <v>1054063</v>
      </c>
      <c r="C74" s="4" t="s">
        <v>62</v>
      </c>
      <c r="D74" s="31">
        <v>4.5</v>
      </c>
      <c r="E74" s="111">
        <v>10.5</v>
      </c>
      <c r="F74" s="29">
        <v>88.5</v>
      </c>
      <c r="G74" s="106">
        <v>9.6</v>
      </c>
      <c r="H74" s="115">
        <v>3.3</v>
      </c>
      <c r="I74" s="1">
        <f t="shared" si="74"/>
        <v>47432.835</v>
      </c>
      <c r="J74" s="1">
        <f t="shared" si="75"/>
        <v>110676.615</v>
      </c>
      <c r="K74" s="1">
        <f t="shared" si="76"/>
        <v>932845.755</v>
      </c>
      <c r="L74" s="1">
        <f t="shared" si="77"/>
        <v>101190.048</v>
      </c>
      <c r="M74" s="1">
        <f t="shared" si="78"/>
        <v>34784.079</v>
      </c>
      <c r="N74" s="12">
        <f t="shared" si="59"/>
        <v>-0.13912</v>
      </c>
      <c r="O74" s="12">
        <f t="shared" si="60"/>
        <v>0.0067599999999999995</v>
      </c>
      <c r="P74" s="12">
        <f t="shared" si="61"/>
        <v>0.10779000000000001</v>
      </c>
      <c r="Q74" s="12">
        <f t="shared" si="62"/>
        <v>-0.34064000000000005</v>
      </c>
      <c r="R74" s="12">
        <f t="shared" si="63"/>
        <v>-0.091872</v>
      </c>
      <c r="S74" s="1">
        <f t="shared" si="15"/>
        <v>125899.35068348</v>
      </c>
      <c r="T74" s="2">
        <f t="shared" si="79"/>
        <v>0.11944196</v>
      </c>
      <c r="U74" s="1">
        <f t="shared" si="17"/>
        <v>14478.425328600202</v>
      </c>
      <c r="V74" s="1">
        <f t="shared" si="18"/>
        <v>8812.954547843601</v>
      </c>
      <c r="W74" s="1">
        <f t="shared" si="19"/>
        <v>4406.477273921801</v>
      </c>
      <c r="X74" s="1">
        <f t="shared" si="20"/>
        <v>20430.0309972738</v>
      </c>
      <c r="Y74" s="1">
        <f t="shared" si="21"/>
        <v>1772.6628576233984</v>
      </c>
      <c r="Z74" s="1">
        <f t="shared" si="22"/>
        <v>886.3314288116992</v>
      </c>
      <c r="AA74" s="1">
        <f t="shared" si="23"/>
        <v>4109.354806308786</v>
      </c>
      <c r="AB74" s="1">
        <f t="shared" si="24"/>
        <v>35132.949060433086</v>
      </c>
      <c r="AC74" s="1">
        <f t="shared" si="25"/>
        <v>17566.474530216543</v>
      </c>
      <c r="AD74" s="1">
        <f t="shared" si="26"/>
        <v>81444.56373100396</v>
      </c>
      <c r="AE74" s="1">
        <f t="shared" si="27"/>
        <v>20794.710140831925</v>
      </c>
      <c r="AF74" s="1">
        <f t="shared" si="28"/>
        <v>10397.355070415962</v>
      </c>
      <c r="AG74" s="1">
        <f t="shared" si="29"/>
        <v>48205.91896283765</v>
      </c>
      <c r="AH74"/>
      <c r="AI74"/>
      <c r="AN74"/>
      <c r="AP74" t="s">
        <v>72</v>
      </c>
      <c r="AQ74" s="4" t="s">
        <v>166</v>
      </c>
      <c r="AR74" s="1">
        <v>1054063</v>
      </c>
      <c r="AS74" s="1">
        <v>125899.35068348</v>
      </c>
      <c r="AT74" s="1">
        <v>62949.67534174</v>
      </c>
      <c r="AU74" s="1">
        <v>291857.58567534</v>
      </c>
      <c r="AV74" s="1">
        <v>14478.425328600202</v>
      </c>
      <c r="AW74" s="1">
        <v>10071.948054678402</v>
      </c>
      <c r="AX74" s="1">
        <v>41546.785725548405</v>
      </c>
      <c r="AY74" s="1">
        <f t="shared" si="30"/>
        <v>2649.551835133837</v>
      </c>
      <c r="AZ74" s="1">
        <f t="shared" si="31"/>
        <v>1548.8220207458355</v>
      </c>
      <c r="BA74" s="1">
        <f t="shared" si="32"/>
        <v>3657.4413532187486</v>
      </c>
      <c r="BB74" s="1">
        <f t="shared" si="33"/>
        <v>839.7486690588117</v>
      </c>
      <c r="BC74" s="1">
        <f t="shared" si="34"/>
        <v>0</v>
      </c>
      <c r="BD74" s="1">
        <f t="shared" si="35"/>
        <v>2011.2820372627598</v>
      </c>
      <c r="BE74" s="1">
        <f t="shared" si="80"/>
        <v>7239.212664300101</v>
      </c>
      <c r="BF74" s="1">
        <f t="shared" si="81"/>
        <v>3561.6926308356497</v>
      </c>
      <c r="BG74" s="1">
        <f t="shared" si="82"/>
        <v>14478.425328600202</v>
      </c>
      <c r="BH74" s="1">
        <f t="shared" si="83"/>
        <v>1447.8425328600204</v>
      </c>
      <c r="BI74" s="1">
        <f t="shared" si="84"/>
        <v>965.7109694176336</v>
      </c>
      <c r="BJ74" s="1">
        <f t="shared" si="85"/>
        <v>2171.7637992900304</v>
      </c>
      <c r="BL74" s="2">
        <v>0.81</v>
      </c>
      <c r="BM74" s="2">
        <v>0</v>
      </c>
      <c r="BO74" s="1">
        <f t="shared" si="42"/>
        <v>2649.551835133837</v>
      </c>
      <c r="BP74" s="1">
        <f t="shared" si="43"/>
        <v>1548.8220207458355</v>
      </c>
      <c r="BQ74" s="1">
        <f t="shared" si="44"/>
        <v>3657.4413532187486</v>
      </c>
      <c r="BR74" s="1">
        <f t="shared" si="45"/>
        <v>295.5915315087017</v>
      </c>
      <c r="BS74" s="1">
        <f t="shared" si="46"/>
        <v>0</v>
      </c>
      <c r="BT74" s="1">
        <f t="shared" si="47"/>
        <v>707.9712771164911</v>
      </c>
      <c r="BU74" s="1">
        <f t="shared" si="48"/>
        <v>7239.212664300101</v>
      </c>
      <c r="BV74" s="1">
        <f t="shared" si="49"/>
        <v>3561.6926308356497</v>
      </c>
      <c r="BW74" s="1">
        <f t="shared" si="50"/>
        <v>14478.425328600202</v>
      </c>
      <c r="BX74" s="1">
        <f t="shared" si="51"/>
        <v>1447.8425328600204</v>
      </c>
      <c r="BY74" s="1">
        <f t="shared" si="52"/>
        <v>965.7109694176336</v>
      </c>
      <c r="BZ74" s="1">
        <f t="shared" si="53"/>
        <v>2171.7637992900304</v>
      </c>
      <c r="CA74" s="1">
        <f t="shared" si="54"/>
        <v>13934.268191050092</v>
      </c>
      <c r="CB74" s="1">
        <f t="shared" si="55"/>
        <v>10071.948054678402</v>
      </c>
      <c r="CC74" s="1">
        <f t="shared" si="56"/>
        <v>40243.474965402136</v>
      </c>
      <c r="CD74" s="1">
        <f t="shared" si="65"/>
        <v>121820.21172133525</v>
      </c>
      <c r="CE74" s="1">
        <f t="shared" si="66"/>
        <v>60910.10586066762</v>
      </c>
      <c r="CF74" s="1">
        <f t="shared" si="67"/>
        <v>282401.399899459</v>
      </c>
      <c r="CG74" t="s">
        <v>72</v>
      </c>
      <c r="CH74" s="4" t="s">
        <v>166</v>
      </c>
      <c r="CI74" s="1">
        <v>1054063</v>
      </c>
      <c r="CJ74" s="102">
        <v>196.7109</v>
      </c>
      <c r="CK74" s="1">
        <v>431.8326</v>
      </c>
      <c r="CL74" s="1">
        <f t="shared" si="57"/>
        <v>628.5435</v>
      </c>
      <c r="CM74" s="1">
        <v>180.066131538462</v>
      </c>
      <c r="CN74" s="1">
        <v>406.556330750206</v>
      </c>
      <c r="CO74" s="1">
        <f t="shared" si="58"/>
        <v>586.622462288668</v>
      </c>
      <c r="CP74" s="1">
        <f t="shared" si="68"/>
        <v>193.35076357034498</v>
      </c>
      <c r="CQ74" s="1">
        <f t="shared" si="69"/>
        <v>102.36561966937255</v>
      </c>
      <c r="CR74" s="1">
        <f t="shared" si="70"/>
        <v>267.26519381871714</v>
      </c>
      <c r="CS74" s="1">
        <f t="shared" si="71"/>
        <v>50.91419289059983</v>
      </c>
      <c r="CT74" s="1">
        <f t="shared" si="72"/>
        <v>6.360503941037992</v>
      </c>
      <c r="CU74" s="1">
        <f t="shared" si="73"/>
        <v>97.23549429627982</v>
      </c>
    </row>
    <row r="75" spans="1:99" ht="12.75">
      <c r="A75" t="s">
        <v>73</v>
      </c>
      <c r="B75" s="1">
        <v>616802</v>
      </c>
      <c r="C75" s="4" t="s">
        <v>62</v>
      </c>
      <c r="D75" s="113">
        <v>6</v>
      </c>
      <c r="E75" s="113">
        <v>7</v>
      </c>
      <c r="F75" s="29">
        <v>59.1</v>
      </c>
      <c r="G75" s="113">
        <v>22</v>
      </c>
      <c r="H75" s="107">
        <v>6</v>
      </c>
      <c r="I75" s="1">
        <f t="shared" si="74"/>
        <v>37008.12</v>
      </c>
      <c r="J75" s="1">
        <f t="shared" si="75"/>
        <v>43176.14</v>
      </c>
      <c r="K75" s="1">
        <f t="shared" si="76"/>
        <v>364529.982</v>
      </c>
      <c r="L75" s="1">
        <f t="shared" si="77"/>
        <v>135696.44</v>
      </c>
      <c r="M75" s="1">
        <f t="shared" si="78"/>
        <v>37008.12</v>
      </c>
      <c r="N75" s="12">
        <f t="shared" si="59"/>
        <v>-0.12712</v>
      </c>
      <c r="O75" s="12">
        <f t="shared" si="60"/>
        <v>-0.0072399999999999964</v>
      </c>
      <c r="P75" s="12">
        <f t="shared" si="61"/>
        <v>0.019590000000000007</v>
      </c>
      <c r="Q75" s="12">
        <f t="shared" si="62"/>
        <v>-0.24144000000000007</v>
      </c>
      <c r="R75" s="12">
        <f t="shared" si="63"/>
        <v>-0.06514199999999999</v>
      </c>
      <c r="S75" s="1">
        <f t="shared" si="15"/>
        <v>78520.47361311998</v>
      </c>
      <c r="T75" s="2">
        <f t="shared" si="79"/>
        <v>0.12730255999999995</v>
      </c>
      <c r="U75" s="1">
        <f t="shared" si="17"/>
        <v>9029.854465508797</v>
      </c>
      <c r="V75" s="1">
        <f t="shared" si="18"/>
        <v>3615.5537279897235</v>
      </c>
      <c r="W75" s="1">
        <f t="shared" si="19"/>
        <v>1807.7768639948617</v>
      </c>
      <c r="X75" s="1">
        <f t="shared" si="20"/>
        <v>8381.510914885268</v>
      </c>
      <c r="Y75" s="1">
        <f t="shared" si="21"/>
        <v>829.1762013545467</v>
      </c>
      <c r="Z75" s="1">
        <f t="shared" si="22"/>
        <v>414.58810067727336</v>
      </c>
      <c r="AA75" s="1">
        <f t="shared" si="23"/>
        <v>1922.1811940491762</v>
      </c>
      <c r="AB75" s="1">
        <f t="shared" si="24"/>
        <v>20876.706301542945</v>
      </c>
      <c r="AC75" s="1">
        <f t="shared" si="25"/>
        <v>10438.353150771472</v>
      </c>
      <c r="AD75" s="1">
        <f t="shared" si="26"/>
        <v>48396.000971758636</v>
      </c>
      <c r="AE75" s="1">
        <f t="shared" si="27"/>
        <v>12356.635803305757</v>
      </c>
      <c r="AF75" s="1">
        <f t="shared" si="28"/>
        <v>6178.317901652878</v>
      </c>
      <c r="AG75" s="1">
        <f t="shared" si="29"/>
        <v>28644.92845311789</v>
      </c>
      <c r="AH75"/>
      <c r="AI75"/>
      <c r="AN75"/>
      <c r="AP75" t="s">
        <v>73</v>
      </c>
      <c r="AQ75" s="4" t="s">
        <v>166</v>
      </c>
      <c r="AR75" s="1">
        <v>616802</v>
      </c>
      <c r="AS75" s="1">
        <v>78520.47361311998</v>
      </c>
      <c r="AT75" s="1">
        <v>39260.23680655999</v>
      </c>
      <c r="AU75" s="1">
        <v>182024.73428495994</v>
      </c>
      <c r="AV75" s="1">
        <v>9029.854465508797</v>
      </c>
      <c r="AW75" s="1">
        <v>6281.637889049598</v>
      </c>
      <c r="AX75" s="1">
        <v>25911.75629232959</v>
      </c>
      <c r="AY75" s="1">
        <f t="shared" si="30"/>
        <v>1652.46336718811</v>
      </c>
      <c r="AZ75" s="1">
        <f t="shared" si="31"/>
        <v>965.9639859234815</v>
      </c>
      <c r="BA75" s="1">
        <f t="shared" si="32"/>
        <v>2281.060432066467</v>
      </c>
      <c r="BB75" s="1">
        <f t="shared" si="33"/>
        <v>523.7315589995103</v>
      </c>
      <c r="BC75" s="1">
        <f t="shared" si="34"/>
        <v>0</v>
      </c>
      <c r="BD75" s="1">
        <f t="shared" si="35"/>
        <v>1254.389456959727</v>
      </c>
      <c r="BE75" s="1">
        <f t="shared" si="80"/>
        <v>4514.927232754399</v>
      </c>
      <c r="BF75" s="1">
        <f t="shared" si="81"/>
        <v>2221.344198515164</v>
      </c>
      <c r="BG75" s="1">
        <f t="shared" si="82"/>
        <v>9029.854465508797</v>
      </c>
      <c r="BH75" s="1">
        <f t="shared" si="83"/>
        <v>902.9854465508797</v>
      </c>
      <c r="BI75" s="1">
        <f t="shared" si="84"/>
        <v>602.2912928494368</v>
      </c>
      <c r="BJ75" s="1">
        <f t="shared" si="85"/>
        <v>1354.4781698263196</v>
      </c>
      <c r="BL75" s="2">
        <v>0.92</v>
      </c>
      <c r="BM75" s="2">
        <v>0.59</v>
      </c>
      <c r="BO75" s="1">
        <f t="shared" si="42"/>
        <v>1086.9904029363388</v>
      </c>
      <c r="BP75" s="1">
        <f t="shared" si="43"/>
        <v>635.4111099404662</v>
      </c>
      <c r="BQ75" s="1">
        <f t="shared" si="44"/>
        <v>1500.4815522133222</v>
      </c>
      <c r="BR75" s="1">
        <f t="shared" si="45"/>
        <v>138.26513157587067</v>
      </c>
      <c r="BS75" s="1">
        <f t="shared" si="46"/>
        <v>0</v>
      </c>
      <c r="BT75" s="1">
        <f t="shared" si="47"/>
        <v>331.15881663736786</v>
      </c>
      <c r="BU75" s="1">
        <f t="shared" si="48"/>
        <v>4514.927232754399</v>
      </c>
      <c r="BV75" s="1">
        <f t="shared" si="49"/>
        <v>2221.344198515164</v>
      </c>
      <c r="BW75" s="1">
        <f t="shared" si="50"/>
        <v>9029.854465508797</v>
      </c>
      <c r="BX75" s="1">
        <f t="shared" si="51"/>
        <v>902.9854465508797</v>
      </c>
      <c r="BY75" s="1">
        <f t="shared" si="52"/>
        <v>602.2912928494368</v>
      </c>
      <c r="BZ75" s="1">
        <f t="shared" si="53"/>
        <v>1354.4781698263196</v>
      </c>
      <c r="CA75" s="1">
        <f t="shared" si="54"/>
        <v>8078.915073833387</v>
      </c>
      <c r="CB75" s="1">
        <f t="shared" si="55"/>
        <v>5951.085013066583</v>
      </c>
      <c r="CC75" s="1">
        <f t="shared" si="56"/>
        <v>24207.94677215409</v>
      </c>
      <c r="CD75" s="1">
        <f t="shared" si="65"/>
        <v>72388.02462393531</v>
      </c>
      <c r="CE75" s="1">
        <f t="shared" si="66"/>
        <v>36194.01231196766</v>
      </c>
      <c r="CF75" s="1">
        <f t="shared" si="67"/>
        <v>167808.60253730457</v>
      </c>
      <c r="CG75" t="s">
        <v>73</v>
      </c>
      <c r="CH75" s="4" t="s">
        <v>166</v>
      </c>
      <c r="CI75" s="1">
        <v>616802</v>
      </c>
      <c r="CJ75" s="102">
        <v>23.79346</v>
      </c>
      <c r="CK75" s="1">
        <v>219.0504</v>
      </c>
      <c r="CL75" s="1">
        <f t="shared" si="57"/>
        <v>242.84386</v>
      </c>
      <c r="CM75" s="1">
        <v>24.1268715414013</v>
      </c>
      <c r="CN75" s="1">
        <v>196.848289507495</v>
      </c>
      <c r="CO75" s="1">
        <f t="shared" si="58"/>
        <v>220.9751610488963</v>
      </c>
      <c r="CP75" s="1">
        <f t="shared" si="68"/>
        <v>54.00048647414348</v>
      </c>
      <c r="CQ75" s="1">
        <f t="shared" si="69"/>
        <v>26.975701261216894</v>
      </c>
      <c r="CR75" s="1">
        <f t="shared" si="70"/>
        <v>78.45676466069072</v>
      </c>
      <c r="CS75" s="1">
        <f t="shared" si="71"/>
        <v>14.70320345527392</v>
      </c>
      <c r="CT75" s="1">
        <f t="shared" si="72"/>
        <v>1.8018406361995754</v>
      </c>
      <c r="CU75" s="1">
        <f t="shared" si="73"/>
        <v>28.65833599305254</v>
      </c>
    </row>
    <row r="76" spans="1:99" ht="12.75">
      <c r="A76" t="s">
        <v>74</v>
      </c>
      <c r="B76" s="1">
        <v>9687</v>
      </c>
      <c r="C76" s="4" t="s">
        <v>62</v>
      </c>
      <c r="D76" s="107">
        <v>4</v>
      </c>
      <c r="E76" s="113">
        <v>9</v>
      </c>
      <c r="F76" s="107">
        <v>67.1</v>
      </c>
      <c r="G76" s="107">
        <v>10</v>
      </c>
      <c r="H76" s="107">
        <v>6</v>
      </c>
      <c r="I76" s="1">
        <f t="shared" si="74"/>
        <v>387.48</v>
      </c>
      <c r="J76" s="1">
        <f t="shared" si="75"/>
        <v>871.83</v>
      </c>
      <c r="K76" s="1">
        <f t="shared" si="76"/>
        <v>6499.977</v>
      </c>
      <c r="L76" s="1">
        <f t="shared" si="77"/>
        <v>968.7</v>
      </c>
      <c r="M76" s="1">
        <f t="shared" si="78"/>
        <v>581.22</v>
      </c>
      <c r="N76" s="12">
        <f t="shared" si="59"/>
        <v>-0.14312</v>
      </c>
      <c r="O76" s="12">
        <f t="shared" si="60"/>
        <v>0.0007599999999999996</v>
      </c>
      <c r="P76" s="12">
        <f t="shared" si="61"/>
        <v>0.04359</v>
      </c>
      <c r="Q76" s="12">
        <f t="shared" si="62"/>
        <v>-0.3374400000000001</v>
      </c>
      <c r="R76" s="12">
        <f t="shared" si="63"/>
        <v>-0.06514199999999999</v>
      </c>
      <c r="S76" s="1">
        <f t="shared" si="15"/>
        <v>1062.6886987199998</v>
      </c>
      <c r="T76" s="2">
        <f t="shared" si="79"/>
        <v>0.10970255999999998</v>
      </c>
      <c r="U76" s="1">
        <f t="shared" si="17"/>
        <v>122.20920035279998</v>
      </c>
      <c r="V76" s="1">
        <f t="shared" si="18"/>
        <v>74.3882089104</v>
      </c>
      <c r="W76" s="1">
        <f t="shared" si="19"/>
        <v>37.1941044552</v>
      </c>
      <c r="X76" s="1">
        <f t="shared" si="20"/>
        <v>172.44539338319998</v>
      </c>
      <c r="Y76" s="1">
        <f t="shared" si="21"/>
        <v>9.521690740531199</v>
      </c>
      <c r="Z76" s="1">
        <f t="shared" si="22"/>
        <v>4.760845370265599</v>
      </c>
      <c r="AA76" s="1">
        <f t="shared" si="23"/>
        <v>22.073010353049597</v>
      </c>
      <c r="AB76" s="1">
        <f t="shared" si="24"/>
        <v>294.58801918726704</v>
      </c>
      <c r="AC76" s="1">
        <f t="shared" si="25"/>
        <v>147.29400959363352</v>
      </c>
      <c r="AD76" s="1">
        <f t="shared" si="26"/>
        <v>682.908589934119</v>
      </c>
      <c r="AE76" s="1">
        <f t="shared" si="27"/>
        <v>174.3626035896896</v>
      </c>
      <c r="AF76" s="1">
        <f t="shared" si="28"/>
        <v>87.1813017948448</v>
      </c>
      <c r="AG76" s="1">
        <f t="shared" si="29"/>
        <v>404.2042174124623</v>
      </c>
      <c r="AH76"/>
      <c r="AI76"/>
      <c r="AN76"/>
      <c r="AP76" t="s">
        <v>74</v>
      </c>
      <c r="AQ76" s="4" t="s">
        <v>166</v>
      </c>
      <c r="AR76" s="1">
        <v>9687</v>
      </c>
      <c r="AS76" s="1">
        <v>1062.6886987199998</v>
      </c>
      <c r="AT76" s="1">
        <v>531.3443493599999</v>
      </c>
      <c r="AU76" s="1">
        <v>2463.5056197599997</v>
      </c>
      <c r="AV76" s="1">
        <v>122.20920035279998</v>
      </c>
      <c r="AW76" s="1">
        <v>85.01509589759999</v>
      </c>
      <c r="AX76" s="1">
        <v>350.6872705776</v>
      </c>
      <c r="AY76" s="1">
        <f t="shared" si="30"/>
        <v>22.364283664562397</v>
      </c>
      <c r="AZ76" s="1">
        <f t="shared" si="31"/>
        <v>13.073265658956593</v>
      </c>
      <c r="BA76" s="1">
        <f t="shared" si="32"/>
        <v>30.871657170561935</v>
      </c>
      <c r="BB76" s="1">
        <f t="shared" si="33"/>
        <v>7.0881336204624</v>
      </c>
      <c r="BC76" s="1">
        <f t="shared" si="34"/>
        <v>0</v>
      </c>
      <c r="BD76" s="1">
        <f t="shared" si="35"/>
        <v>16.976788834369493</v>
      </c>
      <c r="BE76" s="1">
        <f t="shared" si="80"/>
        <v>61.10460017639999</v>
      </c>
      <c r="BF76" s="1">
        <f t="shared" si="81"/>
        <v>30.063463286788796</v>
      </c>
      <c r="BG76" s="1">
        <f t="shared" si="82"/>
        <v>122.20920035279998</v>
      </c>
      <c r="BH76" s="1">
        <f t="shared" si="83"/>
        <v>12.220920035279999</v>
      </c>
      <c r="BI76" s="1">
        <f t="shared" si="84"/>
        <v>8.15135366353176</v>
      </c>
      <c r="BJ76" s="1">
        <f t="shared" si="85"/>
        <v>18.331380052919997</v>
      </c>
      <c r="BL76" s="2">
        <v>0.97</v>
      </c>
      <c r="BM76" s="2">
        <v>0</v>
      </c>
      <c r="BO76" s="1">
        <f t="shared" si="42"/>
        <v>22.364283664562397</v>
      </c>
      <c r="BP76" s="1">
        <f t="shared" si="43"/>
        <v>13.073265658956593</v>
      </c>
      <c r="BQ76" s="1">
        <f t="shared" si="44"/>
        <v>30.871657170561935</v>
      </c>
      <c r="BR76" s="1">
        <f t="shared" si="45"/>
        <v>1.5877419309835776</v>
      </c>
      <c r="BS76" s="1">
        <f t="shared" si="46"/>
        <v>0</v>
      </c>
      <c r="BT76" s="1">
        <f t="shared" si="47"/>
        <v>3.802800698898764</v>
      </c>
      <c r="BU76" s="1">
        <f t="shared" si="48"/>
        <v>61.10460017639999</v>
      </c>
      <c r="BV76" s="1">
        <f t="shared" si="49"/>
        <v>30.063463286788796</v>
      </c>
      <c r="BW76" s="1">
        <f t="shared" si="50"/>
        <v>122.20920035279998</v>
      </c>
      <c r="BX76" s="1">
        <f t="shared" si="51"/>
        <v>12.220920035279999</v>
      </c>
      <c r="BY76" s="1">
        <f t="shared" si="52"/>
        <v>8.15135366353176</v>
      </c>
      <c r="BZ76" s="1">
        <f t="shared" si="53"/>
        <v>18.331380052919997</v>
      </c>
      <c r="CA76" s="1">
        <f t="shared" si="54"/>
        <v>116.70880866332116</v>
      </c>
      <c r="CB76" s="1">
        <f t="shared" si="55"/>
        <v>85.01509589759999</v>
      </c>
      <c r="CC76" s="1">
        <f t="shared" si="56"/>
        <v>337.51328244212925</v>
      </c>
      <c r="CD76" s="1">
        <f t="shared" si="65"/>
        <v>1021.4563772096639</v>
      </c>
      <c r="CE76" s="1">
        <f t="shared" si="66"/>
        <v>510.7281886048319</v>
      </c>
      <c r="CF76" s="1">
        <f t="shared" si="67"/>
        <v>2367.9216017133117</v>
      </c>
      <c r="CG76" t="s">
        <v>74</v>
      </c>
      <c r="CH76" s="4" t="s">
        <v>166</v>
      </c>
      <c r="CI76" s="1">
        <v>9687</v>
      </c>
      <c r="CJ76" s="102">
        <v>0</v>
      </c>
      <c r="CK76" s="1">
        <v>0</v>
      </c>
      <c r="CL76" s="1">
        <f t="shared" si="57"/>
        <v>0</v>
      </c>
      <c r="CM76" s="1">
        <v>0</v>
      </c>
      <c r="CN76" s="1">
        <v>0</v>
      </c>
      <c r="CO76" s="1">
        <f t="shared" si="58"/>
        <v>0</v>
      </c>
      <c r="CP76" s="1">
        <f t="shared" si="68"/>
        <v>0</v>
      </c>
      <c r="CQ76" s="1">
        <f t="shared" si="69"/>
        <v>0</v>
      </c>
      <c r="CR76" s="1">
        <f t="shared" si="70"/>
        <v>0</v>
      </c>
      <c r="CS76" s="1">
        <f t="shared" si="71"/>
        <v>0</v>
      </c>
      <c r="CT76" s="1">
        <f t="shared" si="72"/>
        <v>0</v>
      </c>
      <c r="CU76" s="1">
        <f t="shared" si="73"/>
        <v>0</v>
      </c>
    </row>
    <row r="77" spans="1:99" ht="12.75">
      <c r="A77" t="s">
        <v>75</v>
      </c>
      <c r="B77" s="1">
        <v>64818</v>
      </c>
      <c r="C77" s="4" t="s">
        <v>62</v>
      </c>
      <c r="D77" s="113">
        <v>10.3</v>
      </c>
      <c r="E77" s="113">
        <v>11.3</v>
      </c>
      <c r="F77" s="113">
        <v>57.6</v>
      </c>
      <c r="G77" s="113">
        <v>10</v>
      </c>
      <c r="H77" s="113">
        <v>5.4</v>
      </c>
      <c r="I77" s="1">
        <f t="shared" si="74"/>
        <v>6676.254</v>
      </c>
      <c r="J77" s="1">
        <f t="shared" si="75"/>
        <v>7324.434</v>
      </c>
      <c r="K77" s="1">
        <f t="shared" si="76"/>
        <v>37335.168000000005</v>
      </c>
      <c r="L77" s="1">
        <f t="shared" si="77"/>
        <v>6481.8</v>
      </c>
      <c r="M77" s="1">
        <f t="shared" si="78"/>
        <v>3500.172</v>
      </c>
      <c r="N77" s="12">
        <f t="shared" si="59"/>
        <v>-0.09272000000000001</v>
      </c>
      <c r="O77" s="12">
        <f t="shared" si="60"/>
        <v>0.009960000000000004</v>
      </c>
      <c r="P77" s="12">
        <f t="shared" si="61"/>
        <v>0.015090000000000036</v>
      </c>
      <c r="Q77" s="12">
        <f t="shared" si="62"/>
        <v>-0.3374400000000001</v>
      </c>
      <c r="R77" s="12">
        <f t="shared" si="63"/>
        <v>-0.07108199999999999</v>
      </c>
      <c r="S77" s="1">
        <f t="shared" si="15"/>
        <v>7469.481127679999</v>
      </c>
      <c r="T77" s="2">
        <f t="shared" si="79"/>
        <v>0.11523775999999998</v>
      </c>
      <c r="U77" s="1">
        <f t="shared" si="17"/>
        <v>858.9903296831999</v>
      </c>
      <c r="V77" s="1">
        <f t="shared" si="18"/>
        <v>522.8636789376</v>
      </c>
      <c r="W77" s="1">
        <f t="shared" si="19"/>
        <v>261.4318394688</v>
      </c>
      <c r="X77" s="1">
        <f t="shared" si="20"/>
        <v>1212.0930739008</v>
      </c>
      <c r="Y77" s="1">
        <f t="shared" si="21"/>
        <v>71.707018825728</v>
      </c>
      <c r="Z77" s="1">
        <f t="shared" si="22"/>
        <v>35.853509412864</v>
      </c>
      <c r="AA77" s="1">
        <f t="shared" si="23"/>
        <v>166.22990727782405</v>
      </c>
      <c r="AB77" s="1">
        <f t="shared" si="24"/>
        <v>2072.338819648441</v>
      </c>
      <c r="AC77" s="1">
        <f t="shared" si="25"/>
        <v>1036.1694098242206</v>
      </c>
      <c r="AD77" s="1">
        <f t="shared" si="26"/>
        <v>4804.058172821386</v>
      </c>
      <c r="AE77" s="1">
        <f t="shared" si="27"/>
        <v>1226.5888922121667</v>
      </c>
      <c r="AF77" s="1">
        <f t="shared" si="28"/>
        <v>613.2944461060833</v>
      </c>
      <c r="AG77" s="1">
        <f t="shared" si="29"/>
        <v>2843.456068310022</v>
      </c>
      <c r="AH77"/>
      <c r="AI77"/>
      <c r="AN77"/>
      <c r="AP77" t="s">
        <v>75</v>
      </c>
      <c r="AQ77" s="4" t="s">
        <v>166</v>
      </c>
      <c r="AR77" s="1">
        <v>64818</v>
      </c>
      <c r="AS77" s="1">
        <v>7469.481127679999</v>
      </c>
      <c r="AT77" s="1">
        <v>3734.7405638399996</v>
      </c>
      <c r="AU77" s="1">
        <v>17315.615341439996</v>
      </c>
      <c r="AV77" s="1">
        <v>858.9903296831999</v>
      </c>
      <c r="AW77" s="1">
        <v>597.5584902144</v>
      </c>
      <c r="AX77" s="1">
        <v>2464.9287721344</v>
      </c>
      <c r="AY77" s="1">
        <f t="shared" si="30"/>
        <v>157.19523033202557</v>
      </c>
      <c r="AZ77" s="1">
        <f t="shared" si="31"/>
        <v>91.89004384288886</v>
      </c>
      <c r="BA77" s="1">
        <f t="shared" si="32"/>
        <v>216.9922959503281</v>
      </c>
      <c r="BB77" s="1">
        <f t="shared" si="33"/>
        <v>49.821439121625595</v>
      </c>
      <c r="BC77" s="1">
        <f t="shared" si="34"/>
        <v>0</v>
      </c>
      <c r="BD77" s="1">
        <f t="shared" si="35"/>
        <v>119.32732884020545</v>
      </c>
      <c r="BE77" s="1">
        <f t="shared" si="80"/>
        <v>429.49516484159994</v>
      </c>
      <c r="BF77" s="1">
        <f t="shared" si="81"/>
        <v>211.31162110206716</v>
      </c>
      <c r="BG77" s="1">
        <f t="shared" si="82"/>
        <v>858.9903296831999</v>
      </c>
      <c r="BH77" s="1">
        <f t="shared" si="83"/>
        <v>85.89903296832</v>
      </c>
      <c r="BI77" s="1">
        <f t="shared" si="84"/>
        <v>57.29465498986944</v>
      </c>
      <c r="BJ77" s="1">
        <f t="shared" si="85"/>
        <v>128.84854945248</v>
      </c>
      <c r="BL77" s="2">
        <v>0.95</v>
      </c>
      <c r="BM77" s="2">
        <v>0</v>
      </c>
      <c r="BO77" s="1">
        <f t="shared" si="42"/>
        <v>157.19523033202557</v>
      </c>
      <c r="BP77" s="1">
        <f t="shared" si="43"/>
        <v>91.89004384288886</v>
      </c>
      <c r="BQ77" s="1">
        <f t="shared" si="44"/>
        <v>216.9922959503281</v>
      </c>
      <c r="BR77" s="1">
        <f t="shared" si="45"/>
        <v>11.957145389190146</v>
      </c>
      <c r="BS77" s="1">
        <f t="shared" si="46"/>
        <v>0</v>
      </c>
      <c r="BT77" s="1">
        <f t="shared" si="47"/>
        <v>28.638558921649306</v>
      </c>
      <c r="BU77" s="1">
        <f t="shared" si="48"/>
        <v>429.49516484159994</v>
      </c>
      <c r="BV77" s="1">
        <f t="shared" si="49"/>
        <v>211.31162110206716</v>
      </c>
      <c r="BW77" s="1">
        <f t="shared" si="50"/>
        <v>858.9903296831999</v>
      </c>
      <c r="BX77" s="1">
        <f t="shared" si="51"/>
        <v>85.89903296832</v>
      </c>
      <c r="BY77" s="1">
        <f t="shared" si="52"/>
        <v>57.29465498986944</v>
      </c>
      <c r="BZ77" s="1">
        <f t="shared" si="53"/>
        <v>128.84854945248</v>
      </c>
      <c r="CA77" s="1">
        <f t="shared" si="54"/>
        <v>821.1260359507644</v>
      </c>
      <c r="CB77" s="1">
        <f t="shared" si="55"/>
        <v>597.5584902144</v>
      </c>
      <c r="CC77" s="1">
        <f t="shared" si="56"/>
        <v>2374.2400022158436</v>
      </c>
      <c r="CD77" s="1">
        <f t="shared" si="65"/>
        <v>7185.640844828159</v>
      </c>
      <c r="CE77" s="1">
        <f t="shared" si="66"/>
        <v>3592.8204224140795</v>
      </c>
      <c r="CF77" s="1">
        <f t="shared" si="67"/>
        <v>16657.621958465275</v>
      </c>
      <c r="CG77" t="s">
        <v>75</v>
      </c>
      <c r="CH77" s="4" t="s">
        <v>166</v>
      </c>
      <c r="CI77" s="1">
        <v>64818</v>
      </c>
      <c r="CJ77" s="102">
        <v>7.269595</v>
      </c>
      <c r="CK77" s="1">
        <v>6.669393</v>
      </c>
      <c r="CL77" s="1">
        <f t="shared" si="57"/>
        <v>13.938988</v>
      </c>
      <c r="CM77" s="1">
        <v>7.38143492307692</v>
      </c>
      <c r="CN77" s="1">
        <v>11.6513492168675</v>
      </c>
      <c r="CO77" s="1">
        <f t="shared" si="58"/>
        <v>19.032784139944418</v>
      </c>
      <c r="CP77" s="1">
        <f t="shared" si="68"/>
        <v>6.2732056525256805</v>
      </c>
      <c r="CQ77" s="1">
        <f t="shared" si="69"/>
        <v>3.321220832420301</v>
      </c>
      <c r="CR77" s="1">
        <f t="shared" si="70"/>
        <v>8.671336454158677</v>
      </c>
      <c r="CS77" s="1">
        <f t="shared" si="71"/>
        <v>1.1582788397714328</v>
      </c>
      <c r="CT77" s="1">
        <f t="shared" si="72"/>
        <v>0.14119021731411063</v>
      </c>
      <c r="CU77" s="1">
        <f t="shared" si="73"/>
        <v>2.270742642859204</v>
      </c>
    </row>
    <row r="78" spans="1:99" ht="12.75">
      <c r="A78" t="s">
        <v>76</v>
      </c>
      <c r="B78" s="1">
        <v>966002</v>
      </c>
      <c r="C78" s="4" t="s">
        <v>62</v>
      </c>
      <c r="D78" s="113">
        <v>8.1</v>
      </c>
      <c r="E78" s="29">
        <v>6</v>
      </c>
      <c r="F78" s="29">
        <v>62.2</v>
      </c>
      <c r="G78" s="116">
        <v>52</v>
      </c>
      <c r="H78" s="116">
        <v>12.3</v>
      </c>
      <c r="I78" s="1">
        <f t="shared" si="74"/>
        <v>78246.162</v>
      </c>
      <c r="J78" s="1">
        <f t="shared" si="75"/>
        <v>57960.12</v>
      </c>
      <c r="K78" s="1">
        <f t="shared" si="76"/>
        <v>600853.2440000001</v>
      </c>
      <c r="L78" s="1">
        <f t="shared" si="77"/>
        <v>502321.04</v>
      </c>
      <c r="M78" s="1">
        <f t="shared" si="78"/>
        <v>118818.24600000001</v>
      </c>
      <c r="N78" s="12">
        <f t="shared" si="59"/>
        <v>-0.11032000000000003</v>
      </c>
      <c r="O78" s="12">
        <f t="shared" si="60"/>
        <v>-0.01124</v>
      </c>
      <c r="P78" s="12">
        <f t="shared" si="61"/>
        <v>0.028890000000000013</v>
      </c>
      <c r="Q78" s="12">
        <f t="shared" si="62"/>
        <v>-0.0014400000000000192</v>
      </c>
      <c r="R78" s="12">
        <f t="shared" si="63"/>
        <v>-0.0027719999999999832</v>
      </c>
      <c r="S78" s="1">
        <f t="shared" si="15"/>
        <v>191931.03473192</v>
      </c>
      <c r="T78" s="2">
        <f t="shared" si="79"/>
        <v>0.19868596</v>
      </c>
      <c r="U78" s="1">
        <f t="shared" si="17"/>
        <v>22072.0689941708</v>
      </c>
      <c r="V78" s="1">
        <f t="shared" si="18"/>
        <v>13435.172431234401</v>
      </c>
      <c r="W78" s="1">
        <f t="shared" si="19"/>
        <v>6717.586215617201</v>
      </c>
      <c r="X78" s="1">
        <f t="shared" si="20"/>
        <v>31145.172454225205</v>
      </c>
      <c r="Y78" s="1">
        <f t="shared" si="21"/>
        <v>1658.2841400837879</v>
      </c>
      <c r="Z78" s="1">
        <f t="shared" si="22"/>
        <v>829.1420700418939</v>
      </c>
      <c r="AA78" s="1">
        <f t="shared" si="23"/>
        <v>3844.2041429215096</v>
      </c>
      <c r="AB78" s="1">
        <f t="shared" si="24"/>
        <v>53183.07632835164</v>
      </c>
      <c r="AC78" s="1">
        <f t="shared" si="25"/>
        <v>26591.53816417582</v>
      </c>
      <c r="AD78" s="1">
        <f t="shared" si="26"/>
        <v>123288.04057936065</v>
      </c>
      <c r="AE78" s="1">
        <f t="shared" si="27"/>
        <v>31478.332625692183</v>
      </c>
      <c r="AF78" s="1">
        <f t="shared" si="28"/>
        <v>15739.166312846091</v>
      </c>
      <c r="AG78" s="1">
        <f t="shared" si="29"/>
        <v>72972.49835955916</v>
      </c>
      <c r="AH78"/>
      <c r="AI78"/>
      <c r="AN78"/>
      <c r="AP78" t="s">
        <v>76</v>
      </c>
      <c r="AQ78" s="4" t="s">
        <v>166</v>
      </c>
      <c r="AR78" s="1">
        <v>966002</v>
      </c>
      <c r="AS78" s="1">
        <v>191931.03473192</v>
      </c>
      <c r="AT78" s="1">
        <v>95965.51736596</v>
      </c>
      <c r="AU78" s="1">
        <v>444931.03506036004</v>
      </c>
      <c r="AV78" s="1">
        <v>22072.0689941708</v>
      </c>
      <c r="AW78" s="1">
        <v>15354.4827785536</v>
      </c>
      <c r="AX78" s="1">
        <v>63337.2414615336</v>
      </c>
      <c r="AY78" s="1">
        <f t="shared" si="30"/>
        <v>4039.1886259332564</v>
      </c>
      <c r="AZ78" s="1">
        <f t="shared" si="31"/>
        <v>2361.1481031755443</v>
      </c>
      <c r="BA78" s="1">
        <f t="shared" si="32"/>
        <v>5575.695979238268</v>
      </c>
      <c r="BB78" s="1">
        <f t="shared" si="33"/>
        <v>1280.1800016619065</v>
      </c>
      <c r="BC78" s="1">
        <f t="shared" si="34"/>
        <v>0</v>
      </c>
      <c r="BD78" s="1">
        <f t="shared" si="35"/>
        <v>3066.1591219804322</v>
      </c>
      <c r="BE78" s="1">
        <f t="shared" si="80"/>
        <v>11036.0344970854</v>
      </c>
      <c r="BF78" s="1">
        <f t="shared" si="81"/>
        <v>5429.728972566017</v>
      </c>
      <c r="BG78" s="1">
        <f t="shared" si="82"/>
        <v>22072.0689941708</v>
      </c>
      <c r="BH78" s="1">
        <f t="shared" si="83"/>
        <v>2207.20689941708</v>
      </c>
      <c r="BI78" s="1">
        <f t="shared" si="84"/>
        <v>1472.2070019111925</v>
      </c>
      <c r="BJ78" s="1">
        <f t="shared" si="85"/>
        <v>3310.8103491256197</v>
      </c>
      <c r="BL78" s="2">
        <v>0.98</v>
      </c>
      <c r="BM78" s="2">
        <v>0</v>
      </c>
      <c r="BO78" s="1">
        <f t="shared" si="42"/>
        <v>4039.1886259332564</v>
      </c>
      <c r="BP78" s="1">
        <f t="shared" si="43"/>
        <v>2361.1481031755443</v>
      </c>
      <c r="BQ78" s="1">
        <f t="shared" si="44"/>
        <v>5575.695979238268</v>
      </c>
      <c r="BR78" s="1">
        <f t="shared" si="45"/>
        <v>276.5188803589717</v>
      </c>
      <c r="BS78" s="1">
        <f t="shared" si="46"/>
        <v>0</v>
      </c>
      <c r="BT78" s="1">
        <f t="shared" si="47"/>
        <v>662.2903703477737</v>
      </c>
      <c r="BU78" s="1">
        <f t="shared" si="48"/>
        <v>11036.0344970854</v>
      </c>
      <c r="BV78" s="1">
        <f t="shared" si="49"/>
        <v>5429.728972566017</v>
      </c>
      <c r="BW78" s="1">
        <f t="shared" si="50"/>
        <v>22072.0689941708</v>
      </c>
      <c r="BX78" s="1">
        <f t="shared" si="51"/>
        <v>2207.20689941708</v>
      </c>
      <c r="BY78" s="1">
        <f t="shared" si="52"/>
        <v>1472.2070019111925</v>
      </c>
      <c r="BZ78" s="1">
        <f t="shared" si="53"/>
        <v>3310.8103491256197</v>
      </c>
      <c r="CA78" s="1">
        <f t="shared" si="54"/>
        <v>21068.407872867865</v>
      </c>
      <c r="CB78" s="1">
        <f t="shared" si="55"/>
        <v>15354.4827785536</v>
      </c>
      <c r="CC78" s="1">
        <f t="shared" si="56"/>
        <v>60933.37270990094</v>
      </c>
      <c r="CD78" s="1">
        <f t="shared" si="65"/>
        <v>184407.33817042873</v>
      </c>
      <c r="CE78" s="1">
        <f t="shared" si="66"/>
        <v>92203.66908521437</v>
      </c>
      <c r="CF78" s="1">
        <f t="shared" si="67"/>
        <v>427489.73848599393</v>
      </c>
      <c r="CG78" t="s">
        <v>76</v>
      </c>
      <c r="CH78" s="4" t="s">
        <v>166</v>
      </c>
      <c r="CI78" s="1">
        <v>966002</v>
      </c>
      <c r="CJ78" s="102">
        <v>141.8927</v>
      </c>
      <c r="CK78" s="1">
        <v>396.7157</v>
      </c>
      <c r="CL78" s="1">
        <f t="shared" si="57"/>
        <v>538.6084000000001</v>
      </c>
      <c r="CM78" s="1">
        <v>130.063354671135</v>
      </c>
      <c r="CN78" s="1">
        <v>347.610825081433</v>
      </c>
      <c r="CO78" s="1">
        <f t="shared" si="58"/>
        <v>477.67417975256797</v>
      </c>
      <c r="CP78" s="1">
        <f t="shared" si="68"/>
        <v>157.4414096464464</v>
      </c>
      <c r="CQ78" s="1">
        <f t="shared" si="69"/>
        <v>83.3541443668231</v>
      </c>
      <c r="CR78" s="1">
        <f t="shared" si="70"/>
        <v>217.62835629526998</v>
      </c>
      <c r="CS78" s="1">
        <f t="shared" si="71"/>
        <v>26.32304576399499</v>
      </c>
      <c r="CT78" s="1">
        <f t="shared" si="72"/>
        <v>3.1915294129668856</v>
      </c>
      <c r="CU78" s="1">
        <f t="shared" si="73"/>
        <v>51.910171053145135</v>
      </c>
    </row>
    <row r="79" spans="1:99" ht="12.75">
      <c r="A79" t="s">
        <v>77</v>
      </c>
      <c r="B79" s="1">
        <v>246543</v>
      </c>
      <c r="C79" s="4" t="s">
        <v>62</v>
      </c>
      <c r="D79" s="113">
        <v>2</v>
      </c>
      <c r="E79" s="113">
        <v>12</v>
      </c>
      <c r="F79" s="113">
        <v>85</v>
      </c>
      <c r="G79" s="113">
        <v>16</v>
      </c>
      <c r="H79" s="107">
        <v>6</v>
      </c>
      <c r="I79" s="1">
        <f t="shared" si="74"/>
        <v>4930.86</v>
      </c>
      <c r="J79" s="1">
        <f t="shared" si="75"/>
        <v>29585.16</v>
      </c>
      <c r="K79" s="1">
        <f t="shared" si="76"/>
        <v>209561.55</v>
      </c>
      <c r="L79" s="1">
        <f t="shared" si="77"/>
        <v>39446.88</v>
      </c>
      <c r="M79" s="1">
        <f t="shared" si="78"/>
        <v>14792.58</v>
      </c>
      <c r="N79" s="12">
        <f t="shared" si="59"/>
        <v>-0.15912000000000004</v>
      </c>
      <c r="O79" s="12">
        <f t="shared" si="60"/>
        <v>0.01276</v>
      </c>
      <c r="P79" s="12">
        <f t="shared" si="61"/>
        <v>0.09729</v>
      </c>
      <c r="Q79" s="12">
        <f t="shared" si="62"/>
        <v>-0.28944000000000003</v>
      </c>
      <c r="R79" s="12">
        <f t="shared" si="63"/>
        <v>-0.06514199999999999</v>
      </c>
      <c r="S79" s="1">
        <f t="shared" si="15"/>
        <v>32345.593492079992</v>
      </c>
      <c r="T79" s="2">
        <f t="shared" si="79"/>
        <v>0.13119655999999996</v>
      </c>
      <c r="U79" s="1">
        <f t="shared" si="17"/>
        <v>3719.743251589199</v>
      </c>
      <c r="V79" s="1">
        <f t="shared" si="18"/>
        <v>2264.1915444455994</v>
      </c>
      <c r="W79" s="1">
        <f t="shared" si="19"/>
        <v>1132.0957722227997</v>
      </c>
      <c r="X79" s="1">
        <f t="shared" si="20"/>
        <v>5248.8076712147995</v>
      </c>
      <c r="Y79" s="1">
        <f t="shared" si="21"/>
        <v>269.1153378541055</v>
      </c>
      <c r="Z79" s="1">
        <f t="shared" si="22"/>
        <v>134.55766892705276</v>
      </c>
      <c r="AA79" s="1">
        <f t="shared" si="23"/>
        <v>623.8582832072443</v>
      </c>
      <c r="AB79" s="1">
        <f t="shared" si="24"/>
        <v>8959.06178425648</v>
      </c>
      <c r="AC79" s="1">
        <f t="shared" si="25"/>
        <v>4479.53089212824</v>
      </c>
      <c r="AD79" s="1">
        <f t="shared" si="26"/>
        <v>20768.734136230934</v>
      </c>
      <c r="AE79" s="1">
        <f t="shared" si="27"/>
        <v>5302.745653857772</v>
      </c>
      <c r="AF79" s="1">
        <f t="shared" si="28"/>
        <v>2651.372826928886</v>
      </c>
      <c r="AG79" s="1">
        <f t="shared" si="29"/>
        <v>12292.728561215745</v>
      </c>
      <c r="AH79"/>
      <c r="AI79"/>
      <c r="AJ79" s="225" t="s">
        <v>632</v>
      </c>
      <c r="AK79" s="189"/>
      <c r="AL79" s="189"/>
      <c r="AM79" s="197"/>
      <c r="AN79"/>
      <c r="AP79" t="s">
        <v>77</v>
      </c>
      <c r="AQ79" s="4" t="s">
        <v>166</v>
      </c>
      <c r="AR79" s="1">
        <v>246543</v>
      </c>
      <c r="AS79" s="1">
        <v>32345.593492079992</v>
      </c>
      <c r="AT79" s="1">
        <v>16172.796746039996</v>
      </c>
      <c r="AU79" s="1">
        <v>74982.96673163999</v>
      </c>
      <c r="AV79" s="1">
        <v>3719.743251589199</v>
      </c>
      <c r="AW79" s="1">
        <v>2587.6474793663992</v>
      </c>
      <c r="AX79" s="1">
        <v>10674.045852386398</v>
      </c>
      <c r="AY79" s="1">
        <f t="shared" si="30"/>
        <v>680.7130150408234</v>
      </c>
      <c r="AZ79" s="1">
        <f t="shared" si="31"/>
        <v>397.9176000722637</v>
      </c>
      <c r="BA79" s="1">
        <f t="shared" si="32"/>
        <v>939.6562459623526</v>
      </c>
      <c r="BB79" s="1">
        <f t="shared" si="33"/>
        <v>215.74510859217355</v>
      </c>
      <c r="BC79" s="1">
        <f t="shared" si="34"/>
        <v>0</v>
      </c>
      <c r="BD79" s="1">
        <f t="shared" si="35"/>
        <v>516.7311095891148</v>
      </c>
      <c r="BE79" s="1">
        <f t="shared" si="80"/>
        <v>1859.8716257945996</v>
      </c>
      <c r="BF79" s="1">
        <f t="shared" si="81"/>
        <v>915.056839890943</v>
      </c>
      <c r="BG79" s="1">
        <f t="shared" si="82"/>
        <v>3719.743251589199</v>
      </c>
      <c r="BH79" s="1">
        <f t="shared" si="83"/>
        <v>371.97432515891995</v>
      </c>
      <c r="BI79" s="1">
        <f t="shared" si="84"/>
        <v>248.1068748809996</v>
      </c>
      <c r="BJ79" s="1">
        <f t="shared" si="85"/>
        <v>557.9614877383799</v>
      </c>
      <c r="BL79" s="2">
        <v>0.99</v>
      </c>
      <c r="BM79" s="2">
        <v>0</v>
      </c>
      <c r="BO79" s="1">
        <f t="shared" si="42"/>
        <v>680.7130150408234</v>
      </c>
      <c r="BP79" s="1">
        <f t="shared" si="43"/>
        <v>397.9176000722637</v>
      </c>
      <c r="BQ79" s="1">
        <f t="shared" si="44"/>
        <v>939.6562459623526</v>
      </c>
      <c r="BR79" s="1">
        <f t="shared" si="45"/>
        <v>44.8749825871721</v>
      </c>
      <c r="BS79" s="1">
        <f t="shared" si="46"/>
        <v>0</v>
      </c>
      <c r="BT79" s="1">
        <f t="shared" si="47"/>
        <v>107.48007079453583</v>
      </c>
      <c r="BU79" s="1">
        <f t="shared" si="48"/>
        <v>1859.8716257945996</v>
      </c>
      <c r="BV79" s="1">
        <f t="shared" si="49"/>
        <v>915.056839890943</v>
      </c>
      <c r="BW79" s="1">
        <f t="shared" si="50"/>
        <v>3719.743251589199</v>
      </c>
      <c r="BX79" s="1">
        <f t="shared" si="51"/>
        <v>371.97432515891995</v>
      </c>
      <c r="BY79" s="1">
        <f t="shared" si="52"/>
        <v>248.1068748809996</v>
      </c>
      <c r="BZ79" s="1">
        <f t="shared" si="53"/>
        <v>557.9614877383799</v>
      </c>
      <c r="CA79" s="1">
        <f t="shared" si="54"/>
        <v>3548.8731255841976</v>
      </c>
      <c r="CB79" s="1">
        <f t="shared" si="55"/>
        <v>2587.6474793663992</v>
      </c>
      <c r="CC79" s="1">
        <f t="shared" si="56"/>
        <v>10264.79481359182</v>
      </c>
      <c r="CD79" s="1">
        <f t="shared" si="65"/>
        <v>31064.707989793624</v>
      </c>
      <c r="CE79" s="1">
        <f t="shared" si="66"/>
        <v>15532.353994896812</v>
      </c>
      <c r="CF79" s="1">
        <f t="shared" si="67"/>
        <v>72013.64124906705</v>
      </c>
      <c r="CG79" t="s">
        <v>77</v>
      </c>
      <c r="CH79" s="4" t="s">
        <v>166</v>
      </c>
      <c r="CI79" s="1">
        <v>246543</v>
      </c>
      <c r="CJ79" s="102">
        <v>22.78566</v>
      </c>
      <c r="CK79" s="1">
        <v>148.0667</v>
      </c>
      <c r="CL79" s="1">
        <f t="shared" si="57"/>
        <v>170.85236</v>
      </c>
      <c r="CM79" s="1">
        <v>27.7897601705757</v>
      </c>
      <c r="CN79" s="1">
        <v>75.7876947867299</v>
      </c>
      <c r="CO79" s="1">
        <f t="shared" si="58"/>
        <v>103.5774549573056</v>
      </c>
      <c r="CP79" s="1">
        <f t="shared" si="68"/>
        <v>34.139129153927925</v>
      </c>
      <c r="CQ79" s="1">
        <f t="shared" si="69"/>
        <v>18.074265890049826</v>
      </c>
      <c r="CR79" s="1">
        <f t="shared" si="70"/>
        <v>47.18988847854843</v>
      </c>
      <c r="CS79" s="1">
        <f t="shared" si="71"/>
        <v>5.507651949273055</v>
      </c>
      <c r="CT79" s="1">
        <f t="shared" si="72"/>
        <v>0.6665755619815092</v>
      </c>
      <c r="CU79" s="1">
        <f t="shared" si="73"/>
        <v>10.88296016011833</v>
      </c>
    </row>
    <row r="80" spans="1:99" ht="12.75">
      <c r="A80" t="s">
        <v>78</v>
      </c>
      <c r="B80" s="1">
        <v>11094854</v>
      </c>
      <c r="C80" s="4" t="s">
        <v>62</v>
      </c>
      <c r="D80" s="113">
        <v>3</v>
      </c>
      <c r="E80" s="113">
        <v>7</v>
      </c>
      <c r="F80" s="107">
        <v>67.1</v>
      </c>
      <c r="G80" s="113">
        <v>13</v>
      </c>
      <c r="H80" s="107">
        <v>6</v>
      </c>
      <c r="I80" s="1">
        <f t="shared" si="74"/>
        <v>332845.62</v>
      </c>
      <c r="J80" s="1">
        <f t="shared" si="75"/>
        <v>776639.78</v>
      </c>
      <c r="K80" s="1">
        <f t="shared" si="76"/>
        <v>7444647.034</v>
      </c>
      <c r="L80" s="1">
        <f t="shared" si="77"/>
        <v>1442331.02</v>
      </c>
      <c r="M80" s="1">
        <f t="shared" si="78"/>
        <v>665691.24</v>
      </c>
      <c r="N80" s="12">
        <f t="shared" si="59"/>
        <v>-0.15112000000000003</v>
      </c>
      <c r="O80" s="12">
        <f t="shared" si="60"/>
        <v>-0.0072399999999999964</v>
      </c>
      <c r="P80" s="12">
        <f t="shared" si="61"/>
        <v>0.04359</v>
      </c>
      <c r="Q80" s="12">
        <f t="shared" si="62"/>
        <v>-0.31344000000000005</v>
      </c>
      <c r="R80" s="12">
        <f t="shared" si="63"/>
        <v>-0.06514199999999999</v>
      </c>
      <c r="S80" s="1">
        <f t="shared" si="15"/>
        <v>1236660.8296662397</v>
      </c>
      <c r="T80" s="2">
        <f t="shared" si="79"/>
        <v>0.11146255999999997</v>
      </c>
      <c r="U80" s="1">
        <f t="shared" si="17"/>
        <v>142215.99541161756</v>
      </c>
      <c r="V80" s="1">
        <f t="shared" si="18"/>
        <v>40374.5027669434</v>
      </c>
      <c r="W80" s="1">
        <f t="shared" si="19"/>
        <v>20187.2513834717</v>
      </c>
      <c r="X80" s="1">
        <f t="shared" si="20"/>
        <v>93595.43823245968</v>
      </c>
      <c r="Y80" s="1">
        <f t="shared" si="21"/>
        <v>11871.9439647959</v>
      </c>
      <c r="Z80" s="1">
        <f t="shared" si="22"/>
        <v>5935.97198239795</v>
      </c>
      <c r="AA80" s="1">
        <f t="shared" si="23"/>
        <v>27521.32464566322</v>
      </c>
      <c r="AB80" s="1">
        <f t="shared" si="24"/>
        <v>320131.71778830735</v>
      </c>
      <c r="AC80" s="1">
        <f t="shared" si="25"/>
        <v>160065.85889415367</v>
      </c>
      <c r="AD80" s="1">
        <f t="shared" si="26"/>
        <v>742123.5276001671</v>
      </c>
      <c r="AE80" s="1">
        <f t="shared" si="27"/>
        <v>189481.5680529267</v>
      </c>
      <c r="AF80" s="1">
        <f t="shared" si="28"/>
        <v>94740.78402646336</v>
      </c>
      <c r="AG80" s="1">
        <f t="shared" si="29"/>
        <v>439252.7259408756</v>
      </c>
      <c r="AH80"/>
      <c r="AI80"/>
      <c r="AJ80" s="195" t="s">
        <v>649</v>
      </c>
      <c r="AK80" s="191"/>
      <c r="AL80" s="191"/>
      <c r="AM80" s="198"/>
      <c r="AN80"/>
      <c r="AP80" t="s">
        <v>78</v>
      </c>
      <c r="AQ80" s="4" t="s">
        <v>166</v>
      </c>
      <c r="AR80" s="1">
        <v>11094854</v>
      </c>
      <c r="AS80" s="1">
        <v>1236660.8296662397</v>
      </c>
      <c r="AT80" s="1">
        <v>618330.4148331198</v>
      </c>
      <c r="AU80" s="1">
        <v>2866804.650589919</v>
      </c>
      <c r="AV80" s="1">
        <v>142215.99541161756</v>
      </c>
      <c r="AW80" s="1">
        <v>98932.86637329917</v>
      </c>
      <c r="AX80" s="1">
        <v>408098.07378985913</v>
      </c>
      <c r="AY80" s="1">
        <f t="shared" si="30"/>
        <v>26025.527160326015</v>
      </c>
      <c r="AZ80" s="1">
        <f t="shared" si="31"/>
        <v>15213.482156840175</v>
      </c>
      <c r="BA80" s="1">
        <f t="shared" si="32"/>
        <v>35925.63769211403</v>
      </c>
      <c r="BB80" s="1">
        <f t="shared" si="33"/>
        <v>8248.52773387382</v>
      </c>
      <c r="BC80" s="1">
        <f t="shared" si="34"/>
        <v>0</v>
      </c>
      <c r="BD80" s="1">
        <f t="shared" si="35"/>
        <v>19756.048775401185</v>
      </c>
      <c r="BE80" s="1">
        <f t="shared" si="80"/>
        <v>71107.99770580878</v>
      </c>
      <c r="BF80" s="1">
        <f t="shared" si="81"/>
        <v>34985.13487125792</v>
      </c>
      <c r="BG80" s="1">
        <f t="shared" si="82"/>
        <v>142215.99541161756</v>
      </c>
      <c r="BH80" s="1">
        <f t="shared" si="83"/>
        <v>14221.599541161757</v>
      </c>
      <c r="BI80" s="1">
        <f t="shared" si="84"/>
        <v>9485.806893954892</v>
      </c>
      <c r="BJ80" s="1">
        <f t="shared" si="85"/>
        <v>21332.399311742636</v>
      </c>
      <c r="BL80" s="2">
        <v>0.95</v>
      </c>
      <c r="BM80" s="2">
        <v>0.92</v>
      </c>
      <c r="BO80" s="1">
        <f t="shared" si="42"/>
        <v>12138.305867576055</v>
      </c>
      <c r="BP80" s="1">
        <f t="shared" si="43"/>
        <v>7095.568077950258</v>
      </c>
      <c r="BQ80" s="1">
        <f t="shared" si="44"/>
        <v>16755.717419601984</v>
      </c>
      <c r="BR80" s="1">
        <f t="shared" si="45"/>
        <v>1979.6466561297166</v>
      </c>
      <c r="BS80" s="1">
        <f t="shared" si="46"/>
        <v>0</v>
      </c>
      <c r="BT80" s="1">
        <f t="shared" si="47"/>
        <v>4741.451706096284</v>
      </c>
      <c r="BU80" s="1">
        <f t="shared" si="48"/>
        <v>71107.99770580878</v>
      </c>
      <c r="BV80" s="1">
        <f t="shared" si="49"/>
        <v>34985.13487125792</v>
      </c>
      <c r="BW80" s="1">
        <f t="shared" si="50"/>
        <v>142215.99541161756</v>
      </c>
      <c r="BX80" s="1">
        <f t="shared" si="51"/>
        <v>14221.599541161757</v>
      </c>
      <c r="BY80" s="1">
        <f t="shared" si="52"/>
        <v>9485.806893954892</v>
      </c>
      <c r="BZ80" s="1">
        <f t="shared" si="53"/>
        <v>21332.399311742636</v>
      </c>
      <c r="CA80" s="1">
        <f t="shared" si="54"/>
        <v>122059.89304112349</v>
      </c>
      <c r="CB80" s="1">
        <f t="shared" si="55"/>
        <v>90814.95229440925</v>
      </c>
      <c r="CC80" s="1">
        <f t="shared" si="56"/>
        <v>373913.55644804216</v>
      </c>
      <c r="CD80" s="1">
        <f t="shared" si="65"/>
        <v>1110026.7607084166</v>
      </c>
      <c r="CE80" s="1">
        <f t="shared" si="66"/>
        <v>555013.3803542083</v>
      </c>
      <c r="CF80" s="1">
        <f t="shared" si="67"/>
        <v>2573243.8543695114</v>
      </c>
      <c r="CG80" t="s">
        <v>78</v>
      </c>
      <c r="CH80" s="4" t="s">
        <v>166</v>
      </c>
      <c r="CI80" s="1">
        <v>11094854</v>
      </c>
      <c r="CJ80" s="102">
        <v>722.585</v>
      </c>
      <c r="CK80" s="1">
        <v>3736.178</v>
      </c>
      <c r="CL80" s="1">
        <f t="shared" si="57"/>
        <v>4458.763</v>
      </c>
      <c r="CM80" s="1">
        <v>685.374514533276</v>
      </c>
      <c r="CN80" s="1">
        <v>3384.10056944513</v>
      </c>
      <c r="CO80" s="1">
        <f t="shared" si="58"/>
        <v>4069.475083978406</v>
      </c>
      <c r="CP80" s="1">
        <f t="shared" si="68"/>
        <v>759.0857137641783</v>
      </c>
      <c r="CQ80" s="1">
        <f t="shared" si="69"/>
        <v>365.20716231037187</v>
      </c>
      <c r="CR80" s="1">
        <f t="shared" si="70"/>
        <v>1142.475321743099</v>
      </c>
      <c r="CS80" s="1">
        <f t="shared" si="71"/>
        <v>247.6561938648156</v>
      </c>
      <c r="CT80" s="1">
        <f t="shared" si="72"/>
        <v>30.188440494914776</v>
      </c>
      <c r="CU80" s="1">
        <f t="shared" si="73"/>
        <v>485.51649297850923</v>
      </c>
    </row>
    <row r="81" spans="1:99" ht="12.75">
      <c r="A81" t="s">
        <v>79</v>
      </c>
      <c r="B81" s="1">
        <v>345142</v>
      </c>
      <c r="C81" s="4" t="s">
        <v>62</v>
      </c>
      <c r="D81" s="113">
        <v>4</v>
      </c>
      <c r="E81" s="113">
        <v>10</v>
      </c>
      <c r="F81" s="107">
        <v>67.1</v>
      </c>
      <c r="G81" s="113">
        <v>16</v>
      </c>
      <c r="H81" s="107">
        <v>6</v>
      </c>
      <c r="I81" s="1">
        <f t="shared" si="74"/>
        <v>13805.68</v>
      </c>
      <c r="J81" s="1">
        <f t="shared" si="75"/>
        <v>34514.2</v>
      </c>
      <c r="K81" s="1">
        <f t="shared" si="76"/>
        <v>231590.282</v>
      </c>
      <c r="L81" s="1">
        <f t="shared" si="77"/>
        <v>55222.72</v>
      </c>
      <c r="M81" s="1">
        <f t="shared" si="78"/>
        <v>20708.52</v>
      </c>
      <c r="N81" s="12">
        <f t="shared" si="59"/>
        <v>-0.14312</v>
      </c>
      <c r="O81" s="12">
        <f t="shared" si="60"/>
        <v>0.004760000000000004</v>
      </c>
      <c r="P81" s="12">
        <f t="shared" si="61"/>
        <v>0.04359</v>
      </c>
      <c r="Q81" s="12">
        <f t="shared" si="62"/>
        <v>-0.28944000000000003</v>
      </c>
      <c r="R81" s="12">
        <f t="shared" si="63"/>
        <v>-0.06514199999999999</v>
      </c>
      <c r="S81" s="1">
        <f t="shared" si="15"/>
        <v>41811.38544352</v>
      </c>
      <c r="T81" s="2">
        <f t="shared" si="79"/>
        <v>0.12114256</v>
      </c>
      <c r="U81" s="1">
        <f t="shared" si="17"/>
        <v>4808.3093260048</v>
      </c>
      <c r="V81" s="1">
        <f t="shared" si="18"/>
        <v>2111.9767015230823</v>
      </c>
      <c r="W81" s="1">
        <f t="shared" si="19"/>
        <v>1055.9883507615411</v>
      </c>
      <c r="X81" s="1">
        <f t="shared" si="20"/>
        <v>4895.945989894418</v>
      </c>
      <c r="Y81" s="1">
        <f t="shared" si="21"/>
        <v>414.76894359971834</v>
      </c>
      <c r="Z81" s="1">
        <f t="shared" si="22"/>
        <v>207.38447179985917</v>
      </c>
      <c r="AA81" s="1">
        <f t="shared" si="23"/>
        <v>961.509823799347</v>
      </c>
      <c r="AB81" s="1">
        <f t="shared" si="24"/>
        <v>11199.845228303091</v>
      </c>
      <c r="AC81" s="1">
        <f t="shared" si="25"/>
        <v>5599.9226141515455</v>
      </c>
      <c r="AD81" s="1">
        <f t="shared" si="26"/>
        <v>25963.27757470262</v>
      </c>
      <c r="AE81" s="1">
        <f t="shared" si="27"/>
        <v>6629.034606349991</v>
      </c>
      <c r="AF81" s="1">
        <f t="shared" si="28"/>
        <v>3314.5173031749955</v>
      </c>
      <c r="AG81" s="1">
        <f t="shared" si="29"/>
        <v>15367.307496538617</v>
      </c>
      <c r="AH81"/>
      <c r="AI81"/>
      <c r="AJ81" s="195" t="s">
        <v>650</v>
      </c>
      <c r="AK81" s="191"/>
      <c r="AL81" s="191"/>
      <c r="AM81" s="198"/>
      <c r="AN81"/>
      <c r="AP81" t="s">
        <v>79</v>
      </c>
      <c r="AQ81" s="4" t="s">
        <v>166</v>
      </c>
      <c r="AR81" s="1">
        <v>345142</v>
      </c>
      <c r="AS81" s="1">
        <v>41811.38544352</v>
      </c>
      <c r="AT81" s="1">
        <v>20905.69272176</v>
      </c>
      <c r="AU81" s="1">
        <v>96926.39352815998</v>
      </c>
      <c r="AV81" s="1">
        <v>4808.3093260048</v>
      </c>
      <c r="AW81" s="1">
        <v>3344.9108354816</v>
      </c>
      <c r="AX81" s="1">
        <v>13797.7571963616</v>
      </c>
      <c r="AY81" s="1">
        <f t="shared" si="30"/>
        <v>879.9206066588783</v>
      </c>
      <c r="AZ81" s="1">
        <f t="shared" si="31"/>
        <v>514.3663898285139</v>
      </c>
      <c r="BA81" s="1">
        <f t="shared" si="32"/>
        <v>1214.6424054319157</v>
      </c>
      <c r="BB81" s="1">
        <f t="shared" si="33"/>
        <v>278.8819409082784</v>
      </c>
      <c r="BC81" s="1">
        <f t="shared" si="34"/>
        <v>0</v>
      </c>
      <c r="BD81" s="1">
        <f t="shared" si="35"/>
        <v>667.9501366694176</v>
      </c>
      <c r="BE81" s="1">
        <f t="shared" si="80"/>
        <v>2404.1546630024</v>
      </c>
      <c r="BF81" s="1">
        <f t="shared" si="81"/>
        <v>1182.8440941971808</v>
      </c>
      <c r="BG81" s="1">
        <f t="shared" si="82"/>
        <v>4808.3093260048</v>
      </c>
      <c r="BH81" s="1">
        <f t="shared" si="83"/>
        <v>480.83093260048</v>
      </c>
      <c r="BI81" s="1">
        <f t="shared" si="84"/>
        <v>320.7142320445202</v>
      </c>
      <c r="BJ81" s="1">
        <f t="shared" si="85"/>
        <v>721.24639890072</v>
      </c>
      <c r="BL81" s="2">
        <v>0.94</v>
      </c>
      <c r="BM81" s="2">
        <v>0.48</v>
      </c>
      <c r="BO81" s="1">
        <f t="shared" si="42"/>
        <v>634.9507097650467</v>
      </c>
      <c r="BP81" s="1">
        <f t="shared" si="43"/>
        <v>371.1667869002556</v>
      </c>
      <c r="BQ81" s="1">
        <f t="shared" si="44"/>
        <v>876.4859597596703</v>
      </c>
      <c r="BR81" s="1">
        <f t="shared" si="45"/>
        <v>69.16272134525303</v>
      </c>
      <c r="BS81" s="1">
        <f t="shared" si="46"/>
        <v>0</v>
      </c>
      <c r="BT81" s="1">
        <f t="shared" si="47"/>
        <v>165.65163389401556</v>
      </c>
      <c r="BU81" s="1">
        <f t="shared" si="48"/>
        <v>2404.1546630024</v>
      </c>
      <c r="BV81" s="1">
        <f t="shared" si="49"/>
        <v>1182.8440941971808</v>
      </c>
      <c r="BW81" s="1">
        <f t="shared" si="50"/>
        <v>4808.3093260048</v>
      </c>
      <c r="BX81" s="1">
        <f t="shared" si="51"/>
        <v>480.83093260048</v>
      </c>
      <c r="BY81" s="1">
        <f t="shared" si="52"/>
        <v>320.7142320445202</v>
      </c>
      <c r="BZ81" s="1">
        <f t="shared" si="53"/>
        <v>721.24639890072</v>
      </c>
      <c r="CA81" s="1">
        <f t="shared" si="54"/>
        <v>4353.620209547943</v>
      </c>
      <c r="CB81" s="1">
        <f t="shared" si="55"/>
        <v>3201.7112325533417</v>
      </c>
      <c r="CC81" s="1">
        <f t="shared" si="56"/>
        <v>12957.302247913953</v>
      </c>
      <c r="CD81" s="1">
        <f t="shared" si="65"/>
        <v>38834.41479994137</v>
      </c>
      <c r="CE81" s="1">
        <f t="shared" si="66"/>
        <v>19417.207399970684</v>
      </c>
      <c r="CF81" s="1">
        <f t="shared" si="67"/>
        <v>90025.234308955</v>
      </c>
      <c r="CG81" t="s">
        <v>79</v>
      </c>
      <c r="CH81" s="4" t="s">
        <v>166</v>
      </c>
      <c r="CI81" s="1">
        <v>345142</v>
      </c>
      <c r="CJ81" s="102">
        <v>23.01203</v>
      </c>
      <c r="CK81" s="1">
        <v>109.4816</v>
      </c>
      <c r="CL81" s="1">
        <f t="shared" si="57"/>
        <v>132.49363</v>
      </c>
      <c r="CM81" s="1">
        <v>22.1914459844961</v>
      </c>
      <c r="CN81" s="1">
        <v>105.479661618799</v>
      </c>
      <c r="CO81" s="1">
        <f t="shared" si="58"/>
        <v>127.6711076032951</v>
      </c>
      <c r="CP81" s="1">
        <f t="shared" si="68"/>
        <v>33.433052849481044</v>
      </c>
      <c r="CQ81" s="1">
        <f t="shared" si="69"/>
        <v>16.89711930610696</v>
      </c>
      <c r="CR81" s="1">
        <f t="shared" si="70"/>
        <v>48.07049080609673</v>
      </c>
      <c r="CS81" s="1">
        <f t="shared" si="71"/>
        <v>8.012421028592675</v>
      </c>
      <c r="CT81" s="1">
        <f t="shared" si="72"/>
        <v>0.9784259727164177</v>
      </c>
      <c r="CU81" s="1">
        <f t="shared" si="73"/>
        <v>15.677432505987117</v>
      </c>
    </row>
    <row r="82" spans="1:99" ht="12.75">
      <c r="A82" t="s">
        <v>80</v>
      </c>
      <c r="B82" s="1">
        <v>740282</v>
      </c>
      <c r="C82" s="4" t="s">
        <v>62</v>
      </c>
      <c r="D82" s="113">
        <v>3</v>
      </c>
      <c r="E82" s="113">
        <v>6</v>
      </c>
      <c r="F82" s="29">
        <v>67.1</v>
      </c>
      <c r="G82" s="113">
        <v>48</v>
      </c>
      <c r="H82" s="113">
        <v>16.8</v>
      </c>
      <c r="I82" s="1">
        <f t="shared" si="74"/>
        <v>22208.46</v>
      </c>
      <c r="J82" s="1">
        <f t="shared" si="75"/>
        <v>44416.92</v>
      </c>
      <c r="K82" s="1">
        <f t="shared" si="76"/>
        <v>496729.22199999995</v>
      </c>
      <c r="L82" s="1">
        <f t="shared" si="77"/>
        <v>355335.36</v>
      </c>
      <c r="M82" s="1">
        <f t="shared" si="78"/>
        <v>124367.37599999999</v>
      </c>
      <c r="N82" s="12">
        <f t="shared" si="59"/>
        <v>-0.15112000000000003</v>
      </c>
      <c r="O82" s="12">
        <f t="shared" si="60"/>
        <v>-0.01124</v>
      </c>
      <c r="P82" s="12">
        <f t="shared" si="61"/>
        <v>0.04359</v>
      </c>
      <c r="Q82" s="12">
        <f t="shared" si="62"/>
        <v>-0.033440000000000046</v>
      </c>
      <c r="R82" s="12">
        <f t="shared" si="63"/>
        <v>0.041778000000000017</v>
      </c>
      <c r="S82" s="1">
        <f t="shared" si="15"/>
        <v>144876.85919872</v>
      </c>
      <c r="T82" s="2">
        <f t="shared" si="79"/>
        <v>0.19570495999999998</v>
      </c>
      <c r="U82" s="1">
        <f t="shared" si="17"/>
        <v>16660.8388078528</v>
      </c>
      <c r="V82" s="1">
        <f t="shared" si="18"/>
        <v>10141.3801439104</v>
      </c>
      <c r="W82" s="1">
        <f t="shared" si="19"/>
        <v>5070.6900719552</v>
      </c>
      <c r="X82" s="1">
        <f t="shared" si="20"/>
        <v>23509.5630608832</v>
      </c>
      <c r="Y82" s="1">
        <f t="shared" si="21"/>
        <v>1622.6208230256634</v>
      </c>
      <c r="Z82" s="1">
        <f t="shared" si="22"/>
        <v>811.3104115128317</v>
      </c>
      <c r="AA82" s="1">
        <f t="shared" si="23"/>
        <v>3761.530089741311</v>
      </c>
      <c r="AB82" s="1">
        <f t="shared" si="24"/>
        <v>40278.31668996606</v>
      </c>
      <c r="AC82" s="1">
        <f t="shared" si="25"/>
        <v>20139.15834498303</v>
      </c>
      <c r="AD82" s="1">
        <f t="shared" si="26"/>
        <v>93372.46141764858</v>
      </c>
      <c r="AE82" s="1">
        <f t="shared" si="27"/>
        <v>23840.182590073528</v>
      </c>
      <c r="AF82" s="1">
        <f t="shared" si="28"/>
        <v>11920.091295036764</v>
      </c>
      <c r="AG82" s="1">
        <f t="shared" si="29"/>
        <v>55265.87782244317</v>
      </c>
      <c r="AH82"/>
      <c r="AI82"/>
      <c r="AJ82" s="195" t="s">
        <v>651</v>
      </c>
      <c r="AK82" s="191"/>
      <c r="AL82" s="191"/>
      <c r="AM82" s="198"/>
      <c r="AN82"/>
      <c r="AP82" t="s">
        <v>80</v>
      </c>
      <c r="AQ82" s="4" t="s">
        <v>166</v>
      </c>
      <c r="AR82" s="1">
        <v>740282</v>
      </c>
      <c r="AS82" s="1">
        <v>144876.85919872</v>
      </c>
      <c r="AT82" s="1">
        <v>72438.42959936</v>
      </c>
      <c r="AU82" s="1">
        <v>335850.90086975996</v>
      </c>
      <c r="AV82" s="1">
        <v>16660.8388078528</v>
      </c>
      <c r="AW82" s="1">
        <v>11590.1487358976</v>
      </c>
      <c r="AX82" s="1">
        <v>47809.3635355776</v>
      </c>
      <c r="AY82" s="1">
        <f t="shared" si="30"/>
        <v>3048.9335018370625</v>
      </c>
      <c r="AZ82" s="1">
        <f t="shared" si="31"/>
        <v>1782.284567833873</v>
      </c>
      <c r="BA82" s="1">
        <f t="shared" si="32"/>
        <v>4208.747805935881</v>
      </c>
      <c r="BB82" s="1">
        <f t="shared" si="33"/>
        <v>966.3286508554625</v>
      </c>
      <c r="BC82" s="1">
        <f t="shared" si="34"/>
        <v>0</v>
      </c>
      <c r="BD82" s="1">
        <f t="shared" si="35"/>
        <v>2314.453751663918</v>
      </c>
      <c r="BE82" s="1">
        <f t="shared" si="80"/>
        <v>8330.4194039264</v>
      </c>
      <c r="BF82" s="1">
        <f t="shared" si="81"/>
        <v>4098.566346731789</v>
      </c>
      <c r="BG82" s="1">
        <f t="shared" si="82"/>
        <v>16660.8388078528</v>
      </c>
      <c r="BH82" s="1">
        <f t="shared" si="83"/>
        <v>1666.0838807852801</v>
      </c>
      <c r="BI82" s="1">
        <f t="shared" si="84"/>
        <v>1111.277948483782</v>
      </c>
      <c r="BJ82" s="1">
        <f t="shared" si="85"/>
        <v>2499.1258211779204</v>
      </c>
      <c r="BL82" s="2">
        <v>0.9</v>
      </c>
      <c r="BM82" s="2">
        <v>0</v>
      </c>
      <c r="BO82" s="1">
        <f t="shared" si="42"/>
        <v>3048.9335018370625</v>
      </c>
      <c r="BP82" s="1">
        <f t="shared" si="43"/>
        <v>1782.284567833873</v>
      </c>
      <c r="BQ82" s="1">
        <f t="shared" si="44"/>
        <v>4208.747805935881</v>
      </c>
      <c r="BR82" s="1">
        <f t="shared" si="45"/>
        <v>270.57202223952936</v>
      </c>
      <c r="BS82" s="1">
        <f t="shared" si="46"/>
        <v>0</v>
      </c>
      <c r="BT82" s="1">
        <f t="shared" si="47"/>
        <v>648.047050465897</v>
      </c>
      <c r="BU82" s="1">
        <f t="shared" si="48"/>
        <v>8330.4194039264</v>
      </c>
      <c r="BV82" s="1">
        <f t="shared" si="49"/>
        <v>4098.566346731789</v>
      </c>
      <c r="BW82" s="1">
        <f t="shared" si="50"/>
        <v>16660.8388078528</v>
      </c>
      <c r="BX82" s="1">
        <f t="shared" si="51"/>
        <v>1666.0838807852801</v>
      </c>
      <c r="BY82" s="1">
        <f t="shared" si="52"/>
        <v>1111.277948483782</v>
      </c>
      <c r="BZ82" s="1">
        <f t="shared" si="53"/>
        <v>2499.1258211779204</v>
      </c>
      <c r="CA82" s="1">
        <f t="shared" si="54"/>
        <v>15965.082179236868</v>
      </c>
      <c r="CB82" s="1">
        <f t="shared" si="55"/>
        <v>11590.1487358976</v>
      </c>
      <c r="CC82" s="1">
        <f t="shared" si="56"/>
        <v>46142.956834379576</v>
      </c>
      <c r="CD82" s="1">
        <f aca="true" t="shared" si="86" ref="CD82:CD113">AS82-(AS82*BM82*0.07)-(AS82*BL82*0.04)</f>
        <v>139661.29226756608</v>
      </c>
      <c r="CE82" s="1">
        <f aca="true" t="shared" si="87" ref="CE82:CE113">AT82-(AT82*BM82*0.07)-(AT82*BL82*0.04)</f>
        <v>69830.64613378304</v>
      </c>
      <c r="CF82" s="1">
        <f aca="true" t="shared" si="88" ref="CF82:CF113">AU82-(AU82*BM82*0.07)-(AU82*BL82*0.04)</f>
        <v>323760.2684384486</v>
      </c>
      <c r="CG82" t="s">
        <v>80</v>
      </c>
      <c r="CH82" s="4" t="s">
        <v>166</v>
      </c>
      <c r="CI82" s="1">
        <v>740282</v>
      </c>
      <c r="CJ82" s="102">
        <v>109.374</v>
      </c>
      <c r="CK82" s="1">
        <v>297.3794</v>
      </c>
      <c r="CL82" s="1">
        <f t="shared" si="57"/>
        <v>406.75339999999994</v>
      </c>
      <c r="CM82" s="1">
        <v>102.691166977612</v>
      </c>
      <c r="CN82" s="1">
        <v>265.557198873592</v>
      </c>
      <c r="CO82" s="1">
        <f t="shared" si="58"/>
        <v>368.24836585120397</v>
      </c>
      <c r="CP82" s="1">
        <f aca="true" t="shared" si="89" ref="CP82:CP113">((0.3296-(0.3296*BM82*0.58))/(1-(0.3296*BM82*0.58)))*CO82</f>
        <v>121.37466138455683</v>
      </c>
      <c r="CQ82" s="1">
        <f aca="true" t="shared" si="90" ref="CQ82:CQ113">((0.1745-(0.1745*BM82*0.58))/(1-(0.1745*BM82*0.58)))*CO82</f>
        <v>64.25933984103509</v>
      </c>
      <c r="CR82" s="1">
        <f aca="true" t="shared" si="91" ref="CR82:CR113">((0.4556-(0.4556*BM82*0.58))/(1-(0.4556*BM82*0.58)))*CO82</f>
        <v>167.77395548180854</v>
      </c>
      <c r="CS82" s="1">
        <f aca="true" t="shared" si="92" ref="CS82:CS113">((0.2126-(0.2126*BL82*0.8))/(1-(0.2126*BL82*0.8)))*CO82</f>
        <v>25.88306056995455</v>
      </c>
      <c r="CT82" s="1">
        <f aca="true" t="shared" si="93" ref="CT82:CT113">((0.0302-(0.0302*BL82*0.8))/(1-(0.0302*BL82*0.8)))*CO82</f>
        <v>3.1831219861036173</v>
      </c>
      <c r="CU82" s="1">
        <f aca="true" t="shared" si="94" ref="CU82:CU113">((0.3608-(0.3608*BL82*0.8))/(1-(0.3608*BL82*0.8)))*CO82</f>
        <v>50.257655671461656</v>
      </c>
    </row>
    <row r="83" spans="1:99" ht="12.75">
      <c r="A83" t="s">
        <v>81</v>
      </c>
      <c r="B83" s="1">
        <v>4581.61016384019</v>
      </c>
      <c r="C83" s="4" t="s">
        <v>62</v>
      </c>
      <c r="D83" s="107">
        <v>4</v>
      </c>
      <c r="E83" s="113">
        <v>8</v>
      </c>
      <c r="F83" s="107">
        <v>67.1</v>
      </c>
      <c r="G83" s="113">
        <v>5</v>
      </c>
      <c r="H83" s="107">
        <v>6</v>
      </c>
      <c r="I83" s="1">
        <f aca="true" t="shared" si="95" ref="I83:I114">(B83*D83)/100</f>
        <v>183.26440655360759</v>
      </c>
      <c r="J83" s="1">
        <f aca="true" t="shared" si="96" ref="J83:J114">(B83*E83)/100</f>
        <v>366.52881310721517</v>
      </c>
      <c r="K83" s="1">
        <f aca="true" t="shared" si="97" ref="K83:K114">(B83*F83)/100</f>
        <v>3074.260419936767</v>
      </c>
      <c r="L83" s="1">
        <f aca="true" t="shared" si="98" ref="L83:L114">(B83*G83)/100</f>
        <v>229.08050819200946</v>
      </c>
      <c r="M83" s="1">
        <f aca="true" t="shared" si="99" ref="M83:M114">(B83*H83)/100</f>
        <v>274.8966098304114</v>
      </c>
      <c r="N83" s="12">
        <f t="shared" si="59"/>
        <v>-0.14312</v>
      </c>
      <c r="O83" s="12">
        <f t="shared" si="60"/>
        <v>-0.0032399999999999985</v>
      </c>
      <c r="P83" s="12">
        <f t="shared" si="61"/>
        <v>0.04359</v>
      </c>
      <c r="Q83" s="12">
        <f t="shared" si="62"/>
        <v>-0.37744000000000005</v>
      </c>
      <c r="R83" s="12">
        <f t="shared" si="63"/>
        <v>-0.06514199999999999</v>
      </c>
      <c r="S83" s="1">
        <f aca="true" t="shared" si="100" ref="S83:S146">(1+N83+O83+P83+Q83+R83)*0.22*B83</f>
        <v>458.2643775093152</v>
      </c>
      <c r="T83" s="2">
        <f aca="true" t="shared" si="101" ref="T83:T114">S83/B83</f>
        <v>0.10002256</v>
      </c>
      <c r="U83" s="1">
        <f aca="true" t="shared" si="102" ref="U83:U146">S83*0.115</f>
        <v>52.70040341357125</v>
      </c>
      <c r="V83" s="1">
        <f aca="true" t="shared" si="103" ref="V83:V146">AS83*0.07-(AS83*0.07*BM83*0.58)</f>
        <v>32.078506425652066</v>
      </c>
      <c r="W83" s="1">
        <f aca="true" t="shared" si="104" ref="W83:W146">AT83*0.07-(AT83*0.07*BM83*0.58)</f>
        <v>16.039253212826033</v>
      </c>
      <c r="X83" s="1">
        <f aca="true" t="shared" si="105" ref="X83:X146">AU83*0.07-(AU83*0.07*BM83*0.58)</f>
        <v>74.36381035037523</v>
      </c>
      <c r="Y83" s="1">
        <f aca="true" t="shared" si="106" ref="Y83:Y146">AS83*0.04-(AS83*0.04*BL83*0.8)</f>
        <v>4.252693423286447</v>
      </c>
      <c r="Z83" s="1">
        <f aca="true" t="shared" si="107" ref="Z83:Z146">AT83*0.04-(AT83*0.04*BL83*0.8)</f>
        <v>2.1263467116432233</v>
      </c>
      <c r="AA83" s="1">
        <f aca="true" t="shared" si="108" ref="AA83:AA146">AU83*0.04-(AU83*0.04*BL83*0.8)</f>
        <v>9.858516572164035</v>
      </c>
      <c r="AB83" s="1">
        <f aca="true" t="shared" si="109" ref="AB83:AB146">CD83*0.2884</f>
        <v>127.08837012909693</v>
      </c>
      <c r="AC83" s="1">
        <f aca="true" t="shared" si="110" ref="AC83:AC146">CE83*0.2884</f>
        <v>63.544185064548465</v>
      </c>
      <c r="AD83" s="1">
        <f aca="true" t="shared" si="111" ref="AD83:AD146">CF83*0.2884</f>
        <v>294.61394893563374</v>
      </c>
      <c r="AE83" s="1">
        <f aca="true" t="shared" si="112" ref="AE83:AE146">CD83*0.1707</f>
        <v>75.22186123799183</v>
      </c>
      <c r="AF83" s="1">
        <f aca="true" t="shared" si="113" ref="AF83:AF146">CE83*0.1707</f>
        <v>37.610930618995916</v>
      </c>
      <c r="AG83" s="1">
        <f aca="true" t="shared" si="114" ref="AG83:AG146">CF83*0.1707</f>
        <v>174.37795105170832</v>
      </c>
      <c r="AH83"/>
      <c r="AI83"/>
      <c r="AJ83" s="195" t="s">
        <v>652</v>
      </c>
      <c r="AK83" s="191"/>
      <c r="AL83" s="191"/>
      <c r="AM83" s="198"/>
      <c r="AN83"/>
      <c r="AP83" t="s">
        <v>81</v>
      </c>
      <c r="AQ83" s="4" t="s">
        <v>166</v>
      </c>
      <c r="AR83" s="1">
        <v>4581.61016384019</v>
      </c>
      <c r="AS83" s="1">
        <v>458.2643775093152</v>
      </c>
      <c r="AT83" s="1">
        <v>229.1321887546576</v>
      </c>
      <c r="AU83" s="1">
        <v>1062.3401478625033</v>
      </c>
      <c r="AV83" s="1">
        <v>52.70040341357125</v>
      </c>
      <c r="AW83" s="1">
        <v>36.66115020074522</v>
      </c>
      <c r="AX83" s="1">
        <v>151.22724457807402</v>
      </c>
      <c r="AY83" s="1">
        <f aca="true" t="shared" si="115" ref="AY83:AY146">AV83*0.183</f>
        <v>9.64417382468354</v>
      </c>
      <c r="AZ83" s="1">
        <f aca="true" t="shared" si="116" ref="AZ83:AZ146">AY83*0.58456</f>
        <v>5.6375982509570095</v>
      </c>
      <c r="BA83" s="1">
        <f aca="true" t="shared" si="117" ref="BA83:BA146">AY83*1.3804</f>
        <v>13.31281754759316</v>
      </c>
      <c r="BB83" s="1">
        <f aca="true" t="shared" si="118" ref="BB83:BB146">AV83*0.058</f>
        <v>3.0566233979871327</v>
      </c>
      <c r="BC83" s="1">
        <f aca="true" t="shared" si="119" ref="BC83:BC146">BB83*0</f>
        <v>0</v>
      </c>
      <c r="BD83" s="1">
        <f aca="true" t="shared" si="120" ref="BD83:BD146">BB83*2.3951</f>
        <v>7.32091870051898</v>
      </c>
      <c r="BE83" s="1">
        <f t="shared" si="80"/>
        <v>26.350201706785626</v>
      </c>
      <c r="BF83" s="1">
        <f t="shared" si="81"/>
        <v>12.964299239738528</v>
      </c>
      <c r="BG83" s="1">
        <f t="shared" si="82"/>
        <v>52.70040341357125</v>
      </c>
      <c r="BH83" s="1">
        <f t="shared" si="83"/>
        <v>5.2700403413571255</v>
      </c>
      <c r="BI83" s="1">
        <f t="shared" si="84"/>
        <v>3.515116907685203</v>
      </c>
      <c r="BJ83" s="1">
        <f t="shared" si="85"/>
        <v>7.905060512035688</v>
      </c>
      <c r="BL83" s="2">
        <v>0.96</v>
      </c>
      <c r="BM83" s="2">
        <v>0</v>
      </c>
      <c r="BO83" s="1">
        <f aca="true" t="shared" si="121" ref="BO83:BO146">AY83-(AY83*BM83*0.58)</f>
        <v>9.64417382468354</v>
      </c>
      <c r="BP83" s="1">
        <f aca="true" t="shared" si="122" ref="BP83:BP146">AZ83-(AZ83*BM83*0.58)</f>
        <v>5.6375982509570095</v>
      </c>
      <c r="BQ83" s="1">
        <f aca="true" t="shared" si="123" ref="BQ83:BQ146">BA83-(BA83*BM83*0.58)</f>
        <v>13.31281754759316</v>
      </c>
      <c r="BR83" s="1">
        <f aca="true" t="shared" si="124" ref="BR83:BR146">BB83-(BB83*BL83*0.8)</f>
        <v>0.7091366283330149</v>
      </c>
      <c r="BS83" s="1">
        <f aca="true" t="shared" si="125" ref="BS83:BS146">BC83-(BC83*BL83*0.8)</f>
        <v>0</v>
      </c>
      <c r="BT83" s="1">
        <f aca="true" t="shared" si="126" ref="BT83:BT146">BD83-(BD83*BL83*0.8)</f>
        <v>1.698453138520403</v>
      </c>
      <c r="BU83" s="1">
        <f aca="true" t="shared" si="127" ref="BU83:BU146">BE83</f>
        <v>26.350201706785626</v>
      </c>
      <c r="BV83" s="1">
        <f aca="true" t="shared" si="128" ref="BV83:BV146">BF83</f>
        <v>12.964299239738528</v>
      </c>
      <c r="BW83" s="1">
        <f aca="true" t="shared" si="129" ref="BW83:BW146">BG83</f>
        <v>52.70040341357125</v>
      </c>
      <c r="BX83" s="1">
        <f aca="true" t="shared" si="130" ref="BX83:BX146">BH83</f>
        <v>5.2700403413571255</v>
      </c>
      <c r="BY83" s="1">
        <f aca="true" t="shared" si="131" ref="BY83:BY146">BI83</f>
        <v>3.515116907685203</v>
      </c>
      <c r="BZ83" s="1">
        <f aca="true" t="shared" si="132" ref="BZ83:BZ146">BJ83</f>
        <v>7.905060512035688</v>
      </c>
      <c r="CA83" s="1">
        <f aca="true" t="shared" si="133" ref="CA83:CA146">AV83-(AY83-BO83)-(BB83-BR83)</f>
        <v>50.35291664391713</v>
      </c>
      <c r="CB83" s="1">
        <f aca="true" t="shared" si="134" ref="CB83:CB146">AW83-(AZ83-BP83)-(BC83-BS83)</f>
        <v>36.66115020074522</v>
      </c>
      <c r="CC83" s="1">
        <f aca="true" t="shared" si="135" ref="CC83:CC146">AX83-(BA83-BQ83)-(BD83-BT83)</f>
        <v>145.60477901607544</v>
      </c>
      <c r="CD83" s="1">
        <f t="shared" si="86"/>
        <v>440.66702541295746</v>
      </c>
      <c r="CE83" s="1">
        <f t="shared" si="87"/>
        <v>220.33351270647873</v>
      </c>
      <c r="CF83" s="1">
        <f t="shared" si="88"/>
        <v>1021.5462861845831</v>
      </c>
      <c r="CG83" t="s">
        <v>81</v>
      </c>
      <c r="CH83" s="4" t="s">
        <v>166</v>
      </c>
      <c r="CI83" s="1">
        <v>4581.61016384019</v>
      </c>
      <c r="CJ83" s="102">
        <v>0</v>
      </c>
      <c r="CK83" s="1">
        <v>0</v>
      </c>
      <c r="CL83" s="1">
        <f aca="true" t="shared" si="136" ref="CL83:CL146">CJ83+CK83</f>
        <v>0</v>
      </c>
      <c r="CM83" s="1">
        <v>0</v>
      </c>
      <c r="CN83" s="1">
        <v>0</v>
      </c>
      <c r="CO83" s="1">
        <f aca="true" t="shared" si="137" ref="CO83:CO146">CM83+CN83</f>
        <v>0</v>
      </c>
      <c r="CP83" s="1">
        <f t="shared" si="89"/>
        <v>0</v>
      </c>
      <c r="CQ83" s="1">
        <f t="shared" si="90"/>
        <v>0</v>
      </c>
      <c r="CR83" s="1">
        <f t="shared" si="91"/>
        <v>0</v>
      </c>
      <c r="CS83" s="1">
        <f t="shared" si="92"/>
        <v>0</v>
      </c>
      <c r="CT83" s="1">
        <f t="shared" si="93"/>
        <v>0</v>
      </c>
      <c r="CU83" s="1">
        <f t="shared" si="94"/>
        <v>0</v>
      </c>
    </row>
    <row r="84" spans="1:99" ht="12.75">
      <c r="A84" t="s">
        <v>82</v>
      </c>
      <c r="B84" s="1">
        <v>15115</v>
      </c>
      <c r="C84" s="4" t="s">
        <v>62</v>
      </c>
      <c r="D84" s="107">
        <v>4</v>
      </c>
      <c r="E84" s="113">
        <v>11</v>
      </c>
      <c r="F84" s="107">
        <v>67.1</v>
      </c>
      <c r="G84" s="113">
        <v>5</v>
      </c>
      <c r="H84" s="107">
        <v>6</v>
      </c>
      <c r="I84" s="1">
        <f t="shared" si="95"/>
        <v>604.6</v>
      </c>
      <c r="J84" s="1">
        <f t="shared" si="96"/>
        <v>1662.65</v>
      </c>
      <c r="K84" s="1">
        <f t="shared" si="97"/>
        <v>10142.164999999999</v>
      </c>
      <c r="L84" s="1">
        <f t="shared" si="98"/>
        <v>755.75</v>
      </c>
      <c r="M84" s="1">
        <f t="shared" si="99"/>
        <v>906.9</v>
      </c>
      <c r="N84" s="12">
        <f aca="true" t="shared" si="138" ref="N84:N147">((D84/100)-0.2189)*0.8</f>
        <v>-0.14312</v>
      </c>
      <c r="O84" s="12">
        <f aca="true" t="shared" si="139" ref="O84:O147">((E84/100)-0.0881)*0.4</f>
        <v>0.008760000000000002</v>
      </c>
      <c r="P84" s="12">
        <f aca="true" t="shared" si="140" ref="P84:P147">((F84/100)-0.5257)*0.3</f>
        <v>0.04359</v>
      </c>
      <c r="Q84" s="12">
        <f aca="true" t="shared" si="141" ref="Q84:Q147">((G84/100)-0.5218)*0.8</f>
        <v>-0.37744000000000005</v>
      </c>
      <c r="R84" s="12">
        <f aca="true" t="shared" si="142" ref="R84:R147">((H84/100)-0.1258)*0.99</f>
        <v>-0.06514199999999999</v>
      </c>
      <c r="S84" s="1">
        <f t="shared" si="100"/>
        <v>1551.7445944</v>
      </c>
      <c r="T84" s="2">
        <f t="shared" si="101"/>
        <v>0.10266256</v>
      </c>
      <c r="U84" s="1">
        <f t="shared" si="102"/>
        <v>178.450628356</v>
      </c>
      <c r="V84" s="1">
        <f t="shared" si="103"/>
        <v>108.62212160800001</v>
      </c>
      <c r="W84" s="1">
        <f t="shared" si="104"/>
        <v>54.31106080400001</v>
      </c>
      <c r="X84" s="1">
        <f t="shared" si="105"/>
        <v>251.805827364</v>
      </c>
      <c r="Y84" s="1">
        <f t="shared" si="106"/>
        <v>13.903631565824</v>
      </c>
      <c r="Z84" s="1">
        <f t="shared" si="107"/>
        <v>6.951815782912</v>
      </c>
      <c r="AA84" s="1">
        <f t="shared" si="108"/>
        <v>32.23114590259199</v>
      </c>
      <c r="AB84" s="1">
        <f t="shared" si="109"/>
        <v>430.15924315319154</v>
      </c>
      <c r="AC84" s="1">
        <f t="shared" si="110"/>
        <v>215.07962157659577</v>
      </c>
      <c r="AD84" s="1">
        <f t="shared" si="111"/>
        <v>997.1873364005804</v>
      </c>
      <c r="AE84" s="1">
        <f t="shared" si="112"/>
        <v>254.6053495362337</v>
      </c>
      <c r="AF84" s="1">
        <f t="shared" si="113"/>
        <v>127.30267476811684</v>
      </c>
      <c r="AG84" s="1">
        <f t="shared" si="114"/>
        <v>590.2214921067235</v>
      </c>
      <c r="AH84"/>
      <c r="AI84"/>
      <c r="AJ84" s="195" t="s">
        <v>653</v>
      </c>
      <c r="AK84" s="191"/>
      <c r="AL84" s="191"/>
      <c r="AM84" s="198"/>
      <c r="AN84"/>
      <c r="AP84" t="s">
        <v>82</v>
      </c>
      <c r="AQ84" s="4" t="s">
        <v>166</v>
      </c>
      <c r="AR84" s="1">
        <v>15115</v>
      </c>
      <c r="AS84" s="1">
        <v>1551.7445944</v>
      </c>
      <c r="AT84" s="1">
        <v>775.8722972</v>
      </c>
      <c r="AU84" s="1">
        <v>3597.2261052</v>
      </c>
      <c r="AV84" s="1">
        <v>178.450628356</v>
      </c>
      <c r="AW84" s="1">
        <v>124.13956755200002</v>
      </c>
      <c r="AX84" s="1">
        <v>512.075716152</v>
      </c>
      <c r="AY84" s="1">
        <f t="shared" si="115"/>
        <v>32.656464989148</v>
      </c>
      <c r="AZ84" s="1">
        <f t="shared" si="116"/>
        <v>19.08966317405635</v>
      </c>
      <c r="BA84" s="1">
        <f t="shared" si="117"/>
        <v>45.0789842710199</v>
      </c>
      <c r="BB84" s="1">
        <f t="shared" si="118"/>
        <v>10.350136444648001</v>
      </c>
      <c r="BC84" s="1">
        <f t="shared" si="119"/>
        <v>0</v>
      </c>
      <c r="BD84" s="1">
        <f t="shared" si="120"/>
        <v>24.789611798576423</v>
      </c>
      <c r="BE84" s="1">
        <f t="shared" si="80"/>
        <v>89.225314178</v>
      </c>
      <c r="BF84" s="1">
        <f t="shared" si="81"/>
        <v>43.898854575576</v>
      </c>
      <c r="BG84" s="1">
        <f t="shared" si="82"/>
        <v>178.450628356</v>
      </c>
      <c r="BH84" s="1">
        <f t="shared" si="83"/>
        <v>17.8450628356</v>
      </c>
      <c r="BI84" s="1">
        <f t="shared" si="84"/>
        <v>11.9026569113452</v>
      </c>
      <c r="BJ84" s="1">
        <f t="shared" si="85"/>
        <v>26.7675942534</v>
      </c>
      <c r="BL84" s="2">
        <v>0.97</v>
      </c>
      <c r="BM84" s="2">
        <v>0</v>
      </c>
      <c r="BO84" s="1">
        <f t="shared" si="121"/>
        <v>32.656464989148</v>
      </c>
      <c r="BP84" s="1">
        <f t="shared" si="122"/>
        <v>19.08966317405635</v>
      </c>
      <c r="BQ84" s="1">
        <f t="shared" si="123"/>
        <v>45.0789842710199</v>
      </c>
      <c r="BR84" s="1">
        <f t="shared" si="124"/>
        <v>2.3184305636011526</v>
      </c>
      <c r="BS84" s="1">
        <f t="shared" si="125"/>
        <v>0</v>
      </c>
      <c r="BT84" s="1">
        <f t="shared" si="126"/>
        <v>5.552873042881117</v>
      </c>
      <c r="BU84" s="1">
        <f t="shared" si="127"/>
        <v>89.225314178</v>
      </c>
      <c r="BV84" s="1">
        <f t="shared" si="128"/>
        <v>43.898854575576</v>
      </c>
      <c r="BW84" s="1">
        <f t="shared" si="129"/>
        <v>178.450628356</v>
      </c>
      <c r="BX84" s="1">
        <f t="shared" si="130"/>
        <v>17.8450628356</v>
      </c>
      <c r="BY84" s="1">
        <f t="shared" si="131"/>
        <v>11.9026569113452</v>
      </c>
      <c r="BZ84" s="1">
        <f t="shared" si="132"/>
        <v>26.7675942534</v>
      </c>
      <c r="CA84" s="1">
        <f t="shared" si="133"/>
        <v>170.41892247495315</v>
      </c>
      <c r="CB84" s="1">
        <f t="shared" si="134"/>
        <v>124.13956755200002</v>
      </c>
      <c r="CC84" s="1">
        <f t="shared" si="135"/>
        <v>492.83897739630476</v>
      </c>
      <c r="CD84" s="1">
        <f t="shared" si="86"/>
        <v>1491.53690413728</v>
      </c>
      <c r="CE84" s="1">
        <f t="shared" si="87"/>
        <v>745.76845206864</v>
      </c>
      <c r="CF84" s="1">
        <f t="shared" si="88"/>
        <v>3457.65373231824</v>
      </c>
      <c r="CG84" t="s">
        <v>82</v>
      </c>
      <c r="CH84" s="4" t="s">
        <v>166</v>
      </c>
      <c r="CI84" s="1">
        <v>15115</v>
      </c>
      <c r="CJ84" s="102">
        <v>0</v>
      </c>
      <c r="CK84" s="1">
        <v>0</v>
      </c>
      <c r="CL84" s="1">
        <f t="shared" si="136"/>
        <v>0</v>
      </c>
      <c r="CM84" s="1">
        <v>0</v>
      </c>
      <c r="CN84" s="1">
        <v>0</v>
      </c>
      <c r="CO84" s="1">
        <f t="shared" si="137"/>
        <v>0</v>
      </c>
      <c r="CP84" s="1">
        <f t="shared" si="89"/>
        <v>0</v>
      </c>
      <c r="CQ84" s="1">
        <f t="shared" si="90"/>
        <v>0</v>
      </c>
      <c r="CR84" s="1">
        <f t="shared" si="91"/>
        <v>0</v>
      </c>
      <c r="CS84" s="1">
        <f t="shared" si="92"/>
        <v>0</v>
      </c>
      <c r="CT84" s="1">
        <f t="shared" si="93"/>
        <v>0</v>
      </c>
      <c r="CU84" s="1">
        <f t="shared" si="94"/>
        <v>0</v>
      </c>
    </row>
    <row r="85" spans="1:99" ht="12.75">
      <c r="A85" t="s">
        <v>83</v>
      </c>
      <c r="B85" s="1">
        <v>9254</v>
      </c>
      <c r="C85" s="4" t="s">
        <v>62</v>
      </c>
      <c r="D85" s="107">
        <v>4</v>
      </c>
      <c r="E85" s="113">
        <v>8</v>
      </c>
      <c r="F85" s="107">
        <v>67.1</v>
      </c>
      <c r="G85" s="107">
        <v>10</v>
      </c>
      <c r="H85" s="107">
        <v>6</v>
      </c>
      <c r="I85" s="1">
        <f t="shared" si="95"/>
        <v>370.16</v>
      </c>
      <c r="J85" s="1">
        <f t="shared" si="96"/>
        <v>740.32</v>
      </c>
      <c r="K85" s="1">
        <f t="shared" si="97"/>
        <v>6209.433999999999</v>
      </c>
      <c r="L85" s="1">
        <f t="shared" si="98"/>
        <v>925.4</v>
      </c>
      <c r="M85" s="1">
        <f t="shared" si="99"/>
        <v>555.24</v>
      </c>
      <c r="N85" s="12">
        <f t="shared" si="138"/>
        <v>-0.14312</v>
      </c>
      <c r="O85" s="12">
        <f t="shared" si="139"/>
        <v>-0.0032399999999999985</v>
      </c>
      <c r="P85" s="12">
        <f t="shared" si="140"/>
        <v>0.04359</v>
      </c>
      <c r="Q85" s="12">
        <f t="shared" si="141"/>
        <v>-0.3374400000000001</v>
      </c>
      <c r="R85" s="12">
        <f t="shared" si="142"/>
        <v>-0.06514199999999999</v>
      </c>
      <c r="S85" s="1">
        <f t="shared" si="100"/>
        <v>1007.0439702399999</v>
      </c>
      <c r="T85" s="2">
        <f t="shared" si="101"/>
        <v>0.10882255999999998</v>
      </c>
      <c r="U85" s="1">
        <f t="shared" si="102"/>
        <v>115.8100565776</v>
      </c>
      <c r="V85" s="1">
        <f t="shared" si="103"/>
        <v>70.4930779168</v>
      </c>
      <c r="W85" s="1">
        <f t="shared" si="104"/>
        <v>35.2465389584</v>
      </c>
      <c r="X85" s="1">
        <f t="shared" si="105"/>
        <v>163.4157715344</v>
      </c>
      <c r="Y85" s="1">
        <f t="shared" si="106"/>
        <v>8.378605832396797</v>
      </c>
      <c r="Z85" s="1">
        <f t="shared" si="107"/>
        <v>4.189302916198399</v>
      </c>
      <c r="AA85" s="1">
        <f t="shared" si="108"/>
        <v>19.42313170237439</v>
      </c>
      <c r="AB85" s="1">
        <f t="shared" si="109"/>
        <v>278.93039436893423</v>
      </c>
      <c r="AC85" s="1">
        <f t="shared" si="110"/>
        <v>139.46519718446712</v>
      </c>
      <c r="AD85" s="1">
        <f t="shared" si="111"/>
        <v>646.6113687643474</v>
      </c>
      <c r="AE85" s="1">
        <f t="shared" si="112"/>
        <v>165.09507045345725</v>
      </c>
      <c r="AF85" s="1">
        <f t="shared" si="113"/>
        <v>82.54753522672863</v>
      </c>
      <c r="AG85" s="1">
        <f t="shared" si="114"/>
        <v>382.7203905966509</v>
      </c>
      <c r="AH85"/>
      <c r="AI85"/>
      <c r="AJ85" s="195" t="s">
        <v>674</v>
      </c>
      <c r="AK85" s="191"/>
      <c r="AL85" s="191"/>
      <c r="AM85" s="198"/>
      <c r="AN85"/>
      <c r="AP85" t="s">
        <v>83</v>
      </c>
      <c r="AQ85" s="4" t="s">
        <v>166</v>
      </c>
      <c r="AR85" s="1">
        <v>9254</v>
      </c>
      <c r="AS85" s="1">
        <v>1007.0439702399999</v>
      </c>
      <c r="AT85" s="1">
        <v>503.52198511999995</v>
      </c>
      <c r="AU85" s="1">
        <v>2334.5110219199996</v>
      </c>
      <c r="AV85" s="1">
        <v>115.8100565776</v>
      </c>
      <c r="AW85" s="1">
        <v>80.5635176192</v>
      </c>
      <c r="AX85" s="1">
        <v>332.3245101792</v>
      </c>
      <c r="AY85" s="1">
        <f t="shared" si="115"/>
        <v>21.193240353700798</v>
      </c>
      <c r="AZ85" s="1">
        <f t="shared" si="116"/>
        <v>12.388720581159337</v>
      </c>
      <c r="BA85" s="1">
        <f t="shared" si="117"/>
        <v>29.25514898424858</v>
      </c>
      <c r="BB85" s="1">
        <f t="shared" si="118"/>
        <v>6.7169832815008</v>
      </c>
      <c r="BC85" s="1">
        <f t="shared" si="119"/>
        <v>0</v>
      </c>
      <c r="BD85" s="1">
        <f t="shared" si="120"/>
        <v>16.087846657522565</v>
      </c>
      <c r="BE85" s="1">
        <f t="shared" si="80"/>
        <v>57.9050282888</v>
      </c>
      <c r="BF85" s="1">
        <f t="shared" si="81"/>
        <v>28.489273918089598</v>
      </c>
      <c r="BG85" s="1">
        <f t="shared" si="82"/>
        <v>115.8100565776</v>
      </c>
      <c r="BH85" s="1">
        <f t="shared" si="83"/>
        <v>11.58100565776</v>
      </c>
      <c r="BI85" s="1">
        <f t="shared" si="84"/>
        <v>7.72453077372592</v>
      </c>
      <c r="BJ85" s="1">
        <f t="shared" si="85"/>
        <v>17.37150848664</v>
      </c>
      <c r="BL85" s="2">
        <v>0.99</v>
      </c>
      <c r="BM85" s="2">
        <v>0</v>
      </c>
      <c r="BO85" s="1">
        <f t="shared" si="121"/>
        <v>21.193240353700798</v>
      </c>
      <c r="BP85" s="1">
        <f t="shared" si="122"/>
        <v>12.388720581159337</v>
      </c>
      <c r="BQ85" s="1">
        <f t="shared" si="123"/>
        <v>29.25514898424858</v>
      </c>
      <c r="BR85" s="1">
        <f t="shared" si="124"/>
        <v>1.397132522552166</v>
      </c>
      <c r="BS85" s="1">
        <f t="shared" si="125"/>
        <v>0</v>
      </c>
      <c r="BT85" s="1">
        <f t="shared" si="126"/>
        <v>3.346272104764692</v>
      </c>
      <c r="BU85" s="1">
        <f t="shared" si="127"/>
        <v>57.9050282888</v>
      </c>
      <c r="BV85" s="1">
        <f t="shared" si="128"/>
        <v>28.489273918089598</v>
      </c>
      <c r="BW85" s="1">
        <f t="shared" si="129"/>
        <v>115.8100565776</v>
      </c>
      <c r="BX85" s="1">
        <f t="shared" si="130"/>
        <v>11.58100565776</v>
      </c>
      <c r="BY85" s="1">
        <f t="shared" si="131"/>
        <v>7.72453077372592</v>
      </c>
      <c r="BZ85" s="1">
        <f t="shared" si="132"/>
        <v>17.37150848664</v>
      </c>
      <c r="CA85" s="1">
        <f t="shared" si="133"/>
        <v>110.49020581865136</v>
      </c>
      <c r="CB85" s="1">
        <f t="shared" si="134"/>
        <v>80.5635176192</v>
      </c>
      <c r="CC85" s="1">
        <f t="shared" si="135"/>
        <v>319.5829356264421</v>
      </c>
      <c r="CD85" s="1">
        <f t="shared" si="86"/>
        <v>967.1650290184959</v>
      </c>
      <c r="CE85" s="1">
        <f t="shared" si="87"/>
        <v>483.58251450924797</v>
      </c>
      <c r="CF85" s="1">
        <f t="shared" si="88"/>
        <v>2242.0643854519676</v>
      </c>
      <c r="CG85" t="s">
        <v>83</v>
      </c>
      <c r="CH85" s="4" t="s">
        <v>166</v>
      </c>
      <c r="CI85" s="1">
        <v>9254</v>
      </c>
      <c r="CJ85" s="102">
        <v>0.7494218</v>
      </c>
      <c r="CK85" s="1">
        <v>0</v>
      </c>
      <c r="CL85" s="1">
        <f t="shared" si="136"/>
        <v>0.7494218</v>
      </c>
      <c r="CM85" s="1">
        <v>0.7494218</v>
      </c>
      <c r="CN85" s="1">
        <v>0</v>
      </c>
      <c r="CO85" s="1">
        <f t="shared" si="137"/>
        <v>0.7494218</v>
      </c>
      <c r="CP85" s="1">
        <f t="shared" si="89"/>
        <v>0.24700942528</v>
      </c>
      <c r="CQ85" s="1">
        <f t="shared" si="90"/>
        <v>0.13077410409999998</v>
      </c>
      <c r="CR85" s="1">
        <f t="shared" si="91"/>
        <v>0.34143657208</v>
      </c>
      <c r="CS85" s="1">
        <f t="shared" si="92"/>
        <v>0.03984993104241739</v>
      </c>
      <c r="CT85" s="1">
        <f t="shared" si="93"/>
        <v>0.004822924619089223</v>
      </c>
      <c r="CU85" s="1">
        <f t="shared" si="94"/>
        <v>0.07874230541661816</v>
      </c>
    </row>
    <row r="86" spans="1:99" ht="12.75">
      <c r="A86" t="s">
        <v>84</v>
      </c>
      <c r="B86" s="1">
        <v>47543</v>
      </c>
      <c r="C86" s="4" t="s">
        <v>62</v>
      </c>
      <c r="D86" s="113">
        <v>7</v>
      </c>
      <c r="E86" s="107">
        <v>8</v>
      </c>
      <c r="F86" s="113">
        <v>98</v>
      </c>
      <c r="G86" s="113">
        <v>15</v>
      </c>
      <c r="H86" s="107">
        <v>6</v>
      </c>
      <c r="I86" s="1">
        <f t="shared" si="95"/>
        <v>3328.01</v>
      </c>
      <c r="J86" s="1">
        <f t="shared" si="96"/>
        <v>3803.44</v>
      </c>
      <c r="K86" s="1">
        <f t="shared" si="97"/>
        <v>46592.14</v>
      </c>
      <c r="L86" s="1">
        <f t="shared" si="98"/>
        <v>7131.45</v>
      </c>
      <c r="M86" s="1">
        <f t="shared" si="99"/>
        <v>2852.58</v>
      </c>
      <c r="N86" s="12">
        <f t="shared" si="138"/>
        <v>-0.11912</v>
      </c>
      <c r="O86" s="12">
        <f t="shared" si="139"/>
        <v>-0.0032399999999999985</v>
      </c>
      <c r="P86" s="12">
        <f t="shared" si="140"/>
        <v>0.13629</v>
      </c>
      <c r="Q86" s="12">
        <f t="shared" si="141"/>
        <v>-0.29744000000000004</v>
      </c>
      <c r="R86" s="12">
        <f t="shared" si="142"/>
        <v>-0.06514199999999999</v>
      </c>
      <c r="S86" s="1">
        <f t="shared" si="100"/>
        <v>6812.74835208</v>
      </c>
      <c r="T86" s="2">
        <f t="shared" si="101"/>
        <v>0.14329656</v>
      </c>
      <c r="U86" s="1">
        <f t="shared" si="102"/>
        <v>783.4660604892</v>
      </c>
      <c r="V86" s="1">
        <f t="shared" si="103"/>
        <v>476.89238464560003</v>
      </c>
      <c r="W86" s="1">
        <f t="shared" si="104"/>
        <v>238.44619232280002</v>
      </c>
      <c r="X86" s="1">
        <f t="shared" si="105"/>
        <v>1105.5232553148</v>
      </c>
      <c r="Y86" s="1">
        <f t="shared" si="106"/>
        <v>85.02309943395841</v>
      </c>
      <c r="Z86" s="1">
        <f t="shared" si="107"/>
        <v>42.511549716979204</v>
      </c>
      <c r="AA86" s="1">
        <f t="shared" si="108"/>
        <v>197.09900323326718</v>
      </c>
      <c r="AB86" s="1">
        <f t="shared" si="109"/>
        <v>1897.2076208488202</v>
      </c>
      <c r="AC86" s="1">
        <f t="shared" si="110"/>
        <v>948.6038104244101</v>
      </c>
      <c r="AD86" s="1">
        <f t="shared" si="111"/>
        <v>4398.072211967719</v>
      </c>
      <c r="AE86" s="1">
        <f t="shared" si="112"/>
        <v>1122.931140356774</v>
      </c>
      <c r="AF86" s="1">
        <f t="shared" si="113"/>
        <v>561.465570178387</v>
      </c>
      <c r="AG86" s="1">
        <f t="shared" si="114"/>
        <v>2603.1585526452486</v>
      </c>
      <c r="AH86"/>
      <c r="AI86"/>
      <c r="AJ86" s="195" t="s">
        <v>654</v>
      </c>
      <c r="AK86" s="191"/>
      <c r="AL86" s="191"/>
      <c r="AM86" s="198"/>
      <c r="AN86"/>
      <c r="AP86" t="s">
        <v>84</v>
      </c>
      <c r="AQ86" s="4" t="s">
        <v>166</v>
      </c>
      <c r="AR86" s="1">
        <v>47543</v>
      </c>
      <c r="AS86" s="1">
        <v>6812.74835208</v>
      </c>
      <c r="AT86" s="1">
        <v>3406.37417604</v>
      </c>
      <c r="AU86" s="1">
        <v>15793.18936164</v>
      </c>
      <c r="AV86" s="1">
        <v>783.4660604892</v>
      </c>
      <c r="AW86" s="1">
        <v>545.0198681664</v>
      </c>
      <c r="AX86" s="1">
        <v>2248.2069561864</v>
      </c>
      <c r="AY86" s="1">
        <f t="shared" si="115"/>
        <v>143.3742890695236</v>
      </c>
      <c r="AZ86" s="1">
        <f t="shared" si="116"/>
        <v>83.81087441848071</v>
      </c>
      <c r="BA86" s="1">
        <f t="shared" si="117"/>
        <v>197.91386863157038</v>
      </c>
      <c r="BB86" s="1">
        <f t="shared" si="118"/>
        <v>45.441031508373605</v>
      </c>
      <c r="BC86" s="1">
        <f t="shared" si="119"/>
        <v>0</v>
      </c>
      <c r="BD86" s="1">
        <f t="shared" si="120"/>
        <v>108.83581456570562</v>
      </c>
      <c r="BE86" s="1">
        <f t="shared" si="80"/>
        <v>391.7330302446</v>
      </c>
      <c r="BF86" s="1">
        <f t="shared" si="81"/>
        <v>192.7326508803432</v>
      </c>
      <c r="BG86" s="1">
        <f t="shared" si="82"/>
        <v>783.4660604892</v>
      </c>
      <c r="BH86" s="1">
        <f t="shared" si="83"/>
        <v>78.34660604892001</v>
      </c>
      <c r="BI86" s="1">
        <f t="shared" si="84"/>
        <v>52.25718623462965</v>
      </c>
      <c r="BJ86" s="1">
        <f t="shared" si="85"/>
        <v>117.51990907338</v>
      </c>
      <c r="BL86" s="2">
        <v>0.86</v>
      </c>
      <c r="BM86" s="2">
        <v>0</v>
      </c>
      <c r="BO86" s="1">
        <f t="shared" si="121"/>
        <v>143.3742890695236</v>
      </c>
      <c r="BP86" s="1">
        <f t="shared" si="122"/>
        <v>83.81087441848071</v>
      </c>
      <c r="BQ86" s="1">
        <f t="shared" si="123"/>
        <v>197.91386863157038</v>
      </c>
      <c r="BR86" s="1">
        <f t="shared" si="124"/>
        <v>14.177601830612563</v>
      </c>
      <c r="BS86" s="1">
        <f t="shared" si="125"/>
        <v>0</v>
      </c>
      <c r="BT86" s="1">
        <f t="shared" si="126"/>
        <v>33.956774144500145</v>
      </c>
      <c r="BU86" s="1">
        <f t="shared" si="127"/>
        <v>391.7330302446</v>
      </c>
      <c r="BV86" s="1">
        <f t="shared" si="128"/>
        <v>192.7326508803432</v>
      </c>
      <c r="BW86" s="1">
        <f t="shared" si="129"/>
        <v>783.4660604892</v>
      </c>
      <c r="BX86" s="1">
        <f t="shared" si="130"/>
        <v>78.34660604892001</v>
      </c>
      <c r="BY86" s="1">
        <f t="shared" si="131"/>
        <v>52.25718623462965</v>
      </c>
      <c r="BZ86" s="1">
        <f t="shared" si="132"/>
        <v>117.51990907338</v>
      </c>
      <c r="CA86" s="1">
        <f t="shared" si="133"/>
        <v>752.202630811439</v>
      </c>
      <c r="CB86" s="1">
        <f t="shared" si="134"/>
        <v>545.0198681664</v>
      </c>
      <c r="CC86" s="1">
        <f t="shared" si="135"/>
        <v>2173.3279157651946</v>
      </c>
      <c r="CD86" s="1">
        <f t="shared" si="86"/>
        <v>6578.389808768447</v>
      </c>
      <c r="CE86" s="1">
        <f t="shared" si="87"/>
        <v>3289.1949043842237</v>
      </c>
      <c r="CF86" s="1">
        <f t="shared" si="88"/>
        <v>15249.903647599584</v>
      </c>
      <c r="CG86" t="s">
        <v>84</v>
      </c>
      <c r="CH86" s="4" t="s">
        <v>166</v>
      </c>
      <c r="CI86" s="1">
        <v>47543</v>
      </c>
      <c r="CJ86" s="102">
        <v>0</v>
      </c>
      <c r="CK86" s="1">
        <v>24.66431</v>
      </c>
      <c r="CL86" s="1">
        <f t="shared" si="136"/>
        <v>24.66431</v>
      </c>
      <c r="CM86" s="1">
        <v>0</v>
      </c>
      <c r="CN86" s="1">
        <v>20.3313906756757</v>
      </c>
      <c r="CO86" s="1">
        <f t="shared" si="137"/>
        <v>20.3313906756757</v>
      </c>
      <c r="CP86" s="1">
        <f t="shared" si="89"/>
        <v>6.701226366702711</v>
      </c>
      <c r="CQ86" s="1">
        <f t="shared" si="90"/>
        <v>3.5478276729054095</v>
      </c>
      <c r="CR86" s="1">
        <f t="shared" si="91"/>
        <v>9.262981591837848</v>
      </c>
      <c r="CS86" s="1">
        <f t="shared" si="92"/>
        <v>1.5796606018221895</v>
      </c>
      <c r="CT86" s="1">
        <f t="shared" si="93"/>
        <v>0.19563532809552422</v>
      </c>
      <c r="CU86" s="1">
        <f t="shared" si="94"/>
        <v>3.0444121653822434</v>
      </c>
    </row>
    <row r="87" spans="1:99" ht="12.75">
      <c r="A87" t="s">
        <v>85</v>
      </c>
      <c r="B87" s="1">
        <v>95484</v>
      </c>
      <c r="C87" s="4" t="s">
        <v>62</v>
      </c>
      <c r="D87" s="113">
        <v>4.8</v>
      </c>
      <c r="E87" s="107">
        <v>8</v>
      </c>
      <c r="F87" s="115">
        <v>87</v>
      </c>
      <c r="G87" s="113">
        <v>0.3</v>
      </c>
      <c r="H87" s="107">
        <v>6</v>
      </c>
      <c r="I87" s="1">
        <f t="shared" si="95"/>
        <v>4583.232</v>
      </c>
      <c r="J87" s="1">
        <f t="shared" si="96"/>
        <v>7638.72</v>
      </c>
      <c r="K87" s="1">
        <f t="shared" si="97"/>
        <v>83071.08</v>
      </c>
      <c r="L87" s="1">
        <f t="shared" si="98"/>
        <v>286.452</v>
      </c>
      <c r="M87" s="1">
        <f t="shared" si="99"/>
        <v>5729.04</v>
      </c>
      <c r="N87" s="12">
        <f t="shared" si="138"/>
        <v>-0.13672</v>
      </c>
      <c r="O87" s="12">
        <f t="shared" si="139"/>
        <v>-0.0032399999999999985</v>
      </c>
      <c r="P87" s="12">
        <f t="shared" si="140"/>
        <v>0.10329</v>
      </c>
      <c r="Q87" s="12">
        <f t="shared" si="141"/>
        <v>-0.4150400000000001</v>
      </c>
      <c r="R87" s="12">
        <f t="shared" si="142"/>
        <v>-0.06514199999999999</v>
      </c>
      <c r="S87" s="1">
        <f t="shared" si="100"/>
        <v>10149.23879904</v>
      </c>
      <c r="T87" s="2">
        <f t="shared" si="101"/>
        <v>0.10629256000000001</v>
      </c>
      <c r="U87" s="1">
        <f t="shared" si="102"/>
        <v>1167.1624618896</v>
      </c>
      <c r="V87" s="1">
        <f t="shared" si="103"/>
        <v>710.4467159328001</v>
      </c>
      <c r="W87" s="1">
        <f t="shared" si="104"/>
        <v>355.22335796640004</v>
      </c>
      <c r="X87" s="1">
        <f t="shared" si="105"/>
        <v>1646.9446596624002</v>
      </c>
      <c r="Y87" s="1">
        <f t="shared" si="106"/>
        <v>113.67147454924799</v>
      </c>
      <c r="Z87" s="1">
        <f t="shared" si="107"/>
        <v>56.835737274623995</v>
      </c>
      <c r="AA87" s="1">
        <f t="shared" si="108"/>
        <v>263.51114554598394</v>
      </c>
      <c r="AB87" s="1">
        <f t="shared" si="109"/>
        <v>2821.667012735983</v>
      </c>
      <c r="AC87" s="1">
        <f t="shared" si="110"/>
        <v>1410.8335063679915</v>
      </c>
      <c r="AD87" s="1">
        <f t="shared" si="111"/>
        <v>6541.137165887961</v>
      </c>
      <c r="AE87" s="1">
        <f t="shared" si="112"/>
        <v>1670.1059607282673</v>
      </c>
      <c r="AF87" s="1">
        <f t="shared" si="113"/>
        <v>835.0529803641336</v>
      </c>
      <c r="AG87" s="1">
        <f t="shared" si="114"/>
        <v>3871.609272597347</v>
      </c>
      <c r="AH87"/>
      <c r="AI87"/>
      <c r="AJ87" s="209" t="s">
        <v>675</v>
      </c>
      <c r="AK87" s="205"/>
      <c r="AL87" s="205"/>
      <c r="AM87" s="206"/>
      <c r="AN87"/>
      <c r="AP87" t="s">
        <v>85</v>
      </c>
      <c r="AQ87" s="4" t="s">
        <v>166</v>
      </c>
      <c r="AR87" s="1">
        <v>95484</v>
      </c>
      <c r="AS87" s="1">
        <v>10149.23879904</v>
      </c>
      <c r="AT87" s="1">
        <v>5074.61939952</v>
      </c>
      <c r="AU87" s="1">
        <v>23527.78085232</v>
      </c>
      <c r="AV87" s="1">
        <v>1167.1624618896</v>
      </c>
      <c r="AW87" s="1">
        <v>811.9391039232</v>
      </c>
      <c r="AX87" s="1">
        <v>3349.2488036832</v>
      </c>
      <c r="AY87" s="1">
        <f t="shared" si="115"/>
        <v>213.5907305257968</v>
      </c>
      <c r="AZ87" s="1">
        <f t="shared" si="116"/>
        <v>124.85659743615977</v>
      </c>
      <c r="BA87" s="1">
        <f t="shared" si="117"/>
        <v>294.8406444178099</v>
      </c>
      <c r="BB87" s="1">
        <f t="shared" si="118"/>
        <v>67.6954227895968</v>
      </c>
      <c r="BC87" s="1">
        <f t="shared" si="119"/>
        <v>0</v>
      </c>
      <c r="BD87" s="1">
        <f t="shared" si="120"/>
        <v>162.13730712336329</v>
      </c>
      <c r="BE87" s="1">
        <f t="shared" si="80"/>
        <v>583.5812309448</v>
      </c>
      <c r="BF87" s="1">
        <f t="shared" si="81"/>
        <v>287.1219656248416</v>
      </c>
      <c r="BG87" s="1">
        <f t="shared" si="82"/>
        <v>1167.1624618896</v>
      </c>
      <c r="BH87" s="1">
        <f t="shared" si="83"/>
        <v>116.71624618896001</v>
      </c>
      <c r="BI87" s="1">
        <f t="shared" si="84"/>
        <v>77.84973620803633</v>
      </c>
      <c r="BJ87" s="1">
        <f t="shared" si="85"/>
        <v>175.07436928344003</v>
      </c>
      <c r="BL87" s="2">
        <v>0.9</v>
      </c>
      <c r="BM87" s="2">
        <v>0</v>
      </c>
      <c r="BO87" s="1">
        <f t="shared" si="121"/>
        <v>213.5907305257968</v>
      </c>
      <c r="BP87" s="1">
        <f t="shared" si="122"/>
        <v>124.85659743615977</v>
      </c>
      <c r="BQ87" s="1">
        <f t="shared" si="123"/>
        <v>294.8406444178099</v>
      </c>
      <c r="BR87" s="1">
        <f t="shared" si="124"/>
        <v>18.954718381087098</v>
      </c>
      <c r="BS87" s="1">
        <f t="shared" si="125"/>
        <v>0</v>
      </c>
      <c r="BT87" s="1">
        <f t="shared" si="126"/>
        <v>45.3984459945417</v>
      </c>
      <c r="BU87" s="1">
        <f t="shared" si="127"/>
        <v>583.5812309448</v>
      </c>
      <c r="BV87" s="1">
        <f t="shared" si="128"/>
        <v>287.1219656248416</v>
      </c>
      <c r="BW87" s="1">
        <f t="shared" si="129"/>
        <v>1167.1624618896</v>
      </c>
      <c r="BX87" s="1">
        <f t="shared" si="130"/>
        <v>116.71624618896001</v>
      </c>
      <c r="BY87" s="1">
        <f t="shared" si="131"/>
        <v>77.84973620803633</v>
      </c>
      <c r="BZ87" s="1">
        <f t="shared" si="132"/>
        <v>175.07436928344003</v>
      </c>
      <c r="CA87" s="1">
        <f t="shared" si="133"/>
        <v>1118.4217574810905</v>
      </c>
      <c r="CB87" s="1">
        <f t="shared" si="134"/>
        <v>811.9391039232</v>
      </c>
      <c r="CC87" s="1">
        <f t="shared" si="135"/>
        <v>3232.5099425543785</v>
      </c>
      <c r="CD87" s="1">
        <f t="shared" si="86"/>
        <v>9783.86620227456</v>
      </c>
      <c r="CE87" s="1">
        <f t="shared" si="87"/>
        <v>4891.93310113728</v>
      </c>
      <c r="CF87" s="1">
        <f t="shared" si="88"/>
        <v>22680.78074163648</v>
      </c>
      <c r="CG87" t="s">
        <v>85</v>
      </c>
      <c r="CH87" s="4" t="s">
        <v>166</v>
      </c>
      <c r="CI87" s="1">
        <v>95484</v>
      </c>
      <c r="CJ87" s="102">
        <v>16.2207</v>
      </c>
      <c r="CK87" s="1">
        <v>20.63547</v>
      </c>
      <c r="CL87" s="1">
        <f t="shared" si="136"/>
        <v>36.856170000000006</v>
      </c>
      <c r="CM87" s="1">
        <v>16.1315752747253</v>
      </c>
      <c r="CN87" s="1">
        <v>21.9106956741573</v>
      </c>
      <c r="CO87" s="1">
        <f t="shared" si="137"/>
        <v>38.0422709488826</v>
      </c>
      <c r="CP87" s="1">
        <f t="shared" si="89"/>
        <v>12.538732504751707</v>
      </c>
      <c r="CQ87" s="1">
        <f t="shared" si="90"/>
        <v>6.6383762805800135</v>
      </c>
      <c r="CR87" s="1">
        <f t="shared" si="91"/>
        <v>17.332058644310916</v>
      </c>
      <c r="CS87" s="1">
        <f t="shared" si="92"/>
        <v>2.6738758253890333</v>
      </c>
      <c r="CT87" s="1">
        <f t="shared" si="93"/>
        <v>0.328835645417714</v>
      </c>
      <c r="CU87" s="1">
        <f t="shared" si="94"/>
        <v>5.191918095522324</v>
      </c>
    </row>
    <row r="88" spans="1:99" ht="12.75">
      <c r="A88" t="s">
        <v>86</v>
      </c>
      <c r="B88" s="1">
        <v>246446</v>
      </c>
      <c r="C88" s="4" t="s">
        <v>62</v>
      </c>
      <c r="D88" s="113">
        <v>5</v>
      </c>
      <c r="E88" s="113">
        <v>9</v>
      </c>
      <c r="F88" s="113">
        <v>43</v>
      </c>
      <c r="G88" s="113">
        <v>0.8</v>
      </c>
      <c r="H88" s="107">
        <v>6</v>
      </c>
      <c r="I88" s="1">
        <f t="shared" si="95"/>
        <v>12322.3</v>
      </c>
      <c r="J88" s="1">
        <f t="shared" si="96"/>
        <v>22180.14</v>
      </c>
      <c r="K88" s="1">
        <f t="shared" si="97"/>
        <v>105971.78</v>
      </c>
      <c r="L88" s="1">
        <f t="shared" si="98"/>
        <v>1971.5680000000002</v>
      </c>
      <c r="M88" s="1">
        <f t="shared" si="99"/>
        <v>14786.76</v>
      </c>
      <c r="N88" s="12">
        <f t="shared" si="138"/>
        <v>-0.13512</v>
      </c>
      <c r="O88" s="12">
        <f t="shared" si="139"/>
        <v>0.0007599999999999996</v>
      </c>
      <c r="P88" s="12">
        <f t="shared" si="140"/>
        <v>-0.028709999999999986</v>
      </c>
      <c r="Q88" s="12">
        <f t="shared" si="141"/>
        <v>-0.41104000000000007</v>
      </c>
      <c r="R88" s="12">
        <f t="shared" si="142"/>
        <v>-0.06514199999999999</v>
      </c>
      <c r="S88" s="1">
        <f t="shared" si="100"/>
        <v>19559.078353759993</v>
      </c>
      <c r="T88" s="2">
        <f t="shared" si="101"/>
        <v>0.07936455999999997</v>
      </c>
      <c r="U88" s="1">
        <f t="shared" si="102"/>
        <v>2249.2940106823994</v>
      </c>
      <c r="V88" s="1">
        <f t="shared" si="103"/>
        <v>646.5057759051829</v>
      </c>
      <c r="W88" s="1">
        <f t="shared" si="104"/>
        <v>323.25288795259144</v>
      </c>
      <c r="X88" s="1">
        <f t="shared" si="105"/>
        <v>1498.717935052924</v>
      </c>
      <c r="Y88" s="1">
        <f t="shared" si="106"/>
        <v>187.76715219609594</v>
      </c>
      <c r="Z88" s="1">
        <f t="shared" si="107"/>
        <v>93.88357609804797</v>
      </c>
      <c r="AA88" s="1">
        <f t="shared" si="108"/>
        <v>435.27839827276784</v>
      </c>
      <c r="AB88" s="1">
        <f t="shared" si="109"/>
        <v>5067.164952566663</v>
      </c>
      <c r="AC88" s="1">
        <f t="shared" si="110"/>
        <v>2533.5824762833313</v>
      </c>
      <c r="AD88" s="1">
        <f t="shared" si="111"/>
        <v>11746.609662768175</v>
      </c>
      <c r="AE88" s="1">
        <f t="shared" si="112"/>
        <v>2999.18535854067</v>
      </c>
      <c r="AF88" s="1">
        <f t="shared" si="113"/>
        <v>1499.592679270335</v>
      </c>
      <c r="AG88" s="1">
        <f t="shared" si="114"/>
        <v>6952.6569675261</v>
      </c>
      <c r="AH88"/>
      <c r="AI88"/>
      <c r="AJ88" s="211" t="s">
        <v>676</v>
      </c>
      <c r="AK88" s="219"/>
      <c r="AL88" s="219"/>
      <c r="AM88" s="220"/>
      <c r="AN88"/>
      <c r="AP88" t="s">
        <v>86</v>
      </c>
      <c r="AQ88" s="4" t="s">
        <v>166</v>
      </c>
      <c r="AR88" s="1">
        <v>246446</v>
      </c>
      <c r="AS88" s="1">
        <v>19559.078353759993</v>
      </c>
      <c r="AT88" s="1">
        <v>9779.539176879996</v>
      </c>
      <c r="AU88" s="1">
        <v>45341.49982007999</v>
      </c>
      <c r="AV88" s="1">
        <v>2249.2940106823994</v>
      </c>
      <c r="AW88" s="1">
        <v>1564.7262683007993</v>
      </c>
      <c r="AX88" s="1">
        <v>6454.4958567407975</v>
      </c>
      <c r="AY88" s="1">
        <f t="shared" si="115"/>
        <v>411.6208039548791</v>
      </c>
      <c r="AZ88" s="1">
        <f t="shared" si="116"/>
        <v>240.6170571598641</v>
      </c>
      <c r="BA88" s="1">
        <f t="shared" si="117"/>
        <v>568.2013577793151</v>
      </c>
      <c r="BB88" s="1">
        <f t="shared" si="118"/>
        <v>130.45905261957918</v>
      </c>
      <c r="BC88" s="1">
        <f t="shared" si="119"/>
        <v>0</v>
      </c>
      <c r="BD88" s="1">
        <f t="shared" si="120"/>
        <v>312.4624769291541</v>
      </c>
      <c r="BE88" s="1">
        <f t="shared" si="80"/>
        <v>1124.6470053411997</v>
      </c>
      <c r="BF88" s="1">
        <f t="shared" si="81"/>
        <v>553.3263266278702</v>
      </c>
      <c r="BG88" s="1">
        <f t="shared" si="82"/>
        <v>2249.2940106823994</v>
      </c>
      <c r="BH88" s="1">
        <f t="shared" si="83"/>
        <v>224.92940106823994</v>
      </c>
      <c r="BI88" s="1">
        <f t="shared" si="84"/>
        <v>150.02791051251606</v>
      </c>
      <c r="BJ88" s="1">
        <f t="shared" si="85"/>
        <v>337.3941016023599</v>
      </c>
      <c r="BL88" s="2">
        <v>0.95</v>
      </c>
      <c r="BM88" s="2">
        <v>0.91</v>
      </c>
      <c r="BO88" s="1">
        <f t="shared" si="121"/>
        <v>194.3673436274939</v>
      </c>
      <c r="BP88" s="1">
        <f t="shared" si="122"/>
        <v>113.61937439088783</v>
      </c>
      <c r="BQ88" s="1">
        <f t="shared" si="123"/>
        <v>268.3046811433926</v>
      </c>
      <c r="BR88" s="1">
        <f t="shared" si="124"/>
        <v>31.310172628699007</v>
      </c>
      <c r="BS88" s="1">
        <f t="shared" si="125"/>
        <v>0</v>
      </c>
      <c r="BT88" s="1">
        <f t="shared" si="126"/>
        <v>74.99099446299698</v>
      </c>
      <c r="BU88" s="1">
        <f t="shared" si="127"/>
        <v>1124.6470053411997</v>
      </c>
      <c r="BV88" s="1">
        <f t="shared" si="128"/>
        <v>553.3263266278702</v>
      </c>
      <c r="BW88" s="1">
        <f t="shared" si="129"/>
        <v>2249.2940106823994</v>
      </c>
      <c r="BX88" s="1">
        <f t="shared" si="130"/>
        <v>224.92940106823994</v>
      </c>
      <c r="BY88" s="1">
        <f t="shared" si="131"/>
        <v>150.02791051251606</v>
      </c>
      <c r="BZ88" s="1">
        <f t="shared" si="132"/>
        <v>337.3941016023599</v>
      </c>
      <c r="CA88" s="1">
        <f t="shared" si="133"/>
        <v>1932.891670364134</v>
      </c>
      <c r="CB88" s="1">
        <f t="shared" si="134"/>
        <v>1437.728585531823</v>
      </c>
      <c r="CC88" s="1">
        <f t="shared" si="135"/>
        <v>5917.127697638718</v>
      </c>
      <c r="CD88" s="1">
        <f t="shared" si="86"/>
        <v>17569.920085182603</v>
      </c>
      <c r="CE88" s="1">
        <f t="shared" si="87"/>
        <v>8784.960042591301</v>
      </c>
      <c r="CF88" s="1">
        <f t="shared" si="88"/>
        <v>40730.26928837786</v>
      </c>
      <c r="CG88" t="s">
        <v>86</v>
      </c>
      <c r="CH88" s="4" t="s">
        <v>166</v>
      </c>
      <c r="CI88" s="1">
        <v>246446</v>
      </c>
      <c r="CJ88" s="102">
        <v>6.8501</v>
      </c>
      <c r="CK88" s="1">
        <v>49.71551</v>
      </c>
      <c r="CL88" s="1">
        <f t="shared" si="136"/>
        <v>56.56561</v>
      </c>
      <c r="CM88" s="1">
        <v>6.60457670250896</v>
      </c>
      <c r="CN88" s="1">
        <v>46.2469860465116</v>
      </c>
      <c r="CO88" s="1">
        <f t="shared" si="137"/>
        <v>52.85156274902056</v>
      </c>
      <c r="CP88" s="1">
        <f t="shared" si="89"/>
        <v>9.957984713516074</v>
      </c>
      <c r="CQ88" s="1">
        <f t="shared" si="90"/>
        <v>4.796691166604861</v>
      </c>
      <c r="CR88" s="1">
        <f t="shared" si="91"/>
        <v>14.969942389104775</v>
      </c>
      <c r="CS88" s="1">
        <f t="shared" si="92"/>
        <v>3.216389485160282</v>
      </c>
      <c r="CT88" s="1">
        <f t="shared" si="93"/>
        <v>0.3920668450320773</v>
      </c>
      <c r="CU88" s="1">
        <f t="shared" si="94"/>
        <v>6.305556580346971</v>
      </c>
    </row>
    <row r="89" spans="1:99" ht="12.75">
      <c r="A89" t="s">
        <v>87</v>
      </c>
      <c r="B89" s="1">
        <v>2926202</v>
      </c>
      <c r="C89" s="4" t="s">
        <v>62</v>
      </c>
      <c r="D89" s="113">
        <v>4</v>
      </c>
      <c r="E89" s="113">
        <v>8</v>
      </c>
      <c r="F89" s="107">
        <v>67.1</v>
      </c>
      <c r="G89" s="107">
        <v>10</v>
      </c>
      <c r="H89" s="107">
        <v>6</v>
      </c>
      <c r="I89" s="1">
        <f t="shared" si="95"/>
        <v>117048.08</v>
      </c>
      <c r="J89" s="1">
        <f t="shared" si="96"/>
        <v>234096.16</v>
      </c>
      <c r="K89" s="1">
        <f t="shared" si="97"/>
        <v>1963481.542</v>
      </c>
      <c r="L89" s="1">
        <f t="shared" si="98"/>
        <v>292620.2</v>
      </c>
      <c r="M89" s="1">
        <f t="shared" si="99"/>
        <v>175572.12</v>
      </c>
      <c r="N89" s="12">
        <f t="shared" si="138"/>
        <v>-0.14312</v>
      </c>
      <c r="O89" s="12">
        <f t="shared" si="139"/>
        <v>-0.0032399999999999985</v>
      </c>
      <c r="P89" s="12">
        <f t="shared" si="140"/>
        <v>0.04359</v>
      </c>
      <c r="Q89" s="12">
        <f t="shared" si="141"/>
        <v>-0.3374400000000001</v>
      </c>
      <c r="R89" s="12">
        <f t="shared" si="142"/>
        <v>-0.06514199999999999</v>
      </c>
      <c r="S89" s="1">
        <f t="shared" si="100"/>
        <v>318436.79271711997</v>
      </c>
      <c r="T89" s="2">
        <f t="shared" si="101"/>
        <v>0.10882255999999998</v>
      </c>
      <c r="U89" s="1">
        <f t="shared" si="102"/>
        <v>36620.2311624688</v>
      </c>
      <c r="V89" s="1">
        <f t="shared" si="103"/>
        <v>22290.5754901984</v>
      </c>
      <c r="W89" s="1">
        <f t="shared" si="104"/>
        <v>11145.2877450992</v>
      </c>
      <c r="X89" s="1">
        <f t="shared" si="105"/>
        <v>51673.6068181872</v>
      </c>
      <c r="Y89" s="1">
        <f t="shared" si="106"/>
        <v>4789.289362465484</v>
      </c>
      <c r="Z89" s="1">
        <f t="shared" si="107"/>
        <v>2394.644681232742</v>
      </c>
      <c r="AA89" s="1">
        <f t="shared" si="108"/>
        <v>11102.443522079077</v>
      </c>
      <c r="AB89" s="1">
        <f t="shared" si="109"/>
        <v>88971.85128380533</v>
      </c>
      <c r="AC89" s="1">
        <f t="shared" si="110"/>
        <v>44485.925641902664</v>
      </c>
      <c r="AD89" s="1">
        <f t="shared" si="111"/>
        <v>206252.9279760942</v>
      </c>
      <c r="AE89" s="1">
        <f t="shared" si="112"/>
        <v>52661.21710868782</v>
      </c>
      <c r="AF89" s="1">
        <f t="shared" si="113"/>
        <v>26330.60855434391</v>
      </c>
      <c r="AG89" s="1">
        <f t="shared" si="114"/>
        <v>122078.27602468543</v>
      </c>
      <c r="AH89"/>
      <c r="AI89"/>
      <c r="AJ89" s="211" t="s">
        <v>677</v>
      </c>
      <c r="AK89" s="219"/>
      <c r="AL89" s="219"/>
      <c r="AM89" s="220"/>
      <c r="AN89"/>
      <c r="AP89" t="s">
        <v>87</v>
      </c>
      <c r="AQ89" s="4" t="s">
        <v>166</v>
      </c>
      <c r="AR89" s="1">
        <v>2926202</v>
      </c>
      <c r="AS89" s="1">
        <v>318436.79271711997</v>
      </c>
      <c r="AT89" s="1">
        <v>159218.39635855998</v>
      </c>
      <c r="AU89" s="1">
        <v>738194.38311696</v>
      </c>
      <c r="AV89" s="1">
        <v>36620.2311624688</v>
      </c>
      <c r="AW89" s="1">
        <v>25474.9434173696</v>
      </c>
      <c r="AX89" s="1">
        <v>105084.1415966496</v>
      </c>
      <c r="AY89" s="1">
        <f t="shared" si="115"/>
        <v>6701.50230273179</v>
      </c>
      <c r="AZ89" s="1">
        <f t="shared" si="116"/>
        <v>3917.430186084895</v>
      </c>
      <c r="BA89" s="1">
        <f t="shared" si="117"/>
        <v>9250.753778690963</v>
      </c>
      <c r="BB89" s="1">
        <f t="shared" si="118"/>
        <v>2123.9734074231906</v>
      </c>
      <c r="BC89" s="1">
        <f t="shared" si="119"/>
        <v>0</v>
      </c>
      <c r="BD89" s="1">
        <f t="shared" si="120"/>
        <v>5087.128708119283</v>
      </c>
      <c r="BE89" s="1">
        <f t="shared" si="80"/>
        <v>18310.1155812344</v>
      </c>
      <c r="BF89" s="1">
        <f t="shared" si="81"/>
        <v>9008.576865967325</v>
      </c>
      <c r="BG89" s="1">
        <f t="shared" si="82"/>
        <v>36620.2311624688</v>
      </c>
      <c r="BH89" s="1">
        <f t="shared" si="83"/>
        <v>3662.0231162468804</v>
      </c>
      <c r="BI89" s="1">
        <f t="shared" si="84"/>
        <v>2442.569418536669</v>
      </c>
      <c r="BJ89" s="1">
        <f t="shared" si="85"/>
        <v>5493.03467437032</v>
      </c>
      <c r="BL89" s="2">
        <v>0.78</v>
      </c>
      <c r="BM89" s="2">
        <v>0</v>
      </c>
      <c r="BO89" s="1">
        <f t="shared" si="121"/>
        <v>6701.50230273179</v>
      </c>
      <c r="BP89" s="1">
        <f t="shared" si="122"/>
        <v>3917.430186084895</v>
      </c>
      <c r="BQ89" s="1">
        <f t="shared" si="123"/>
        <v>9250.753778690963</v>
      </c>
      <c r="BR89" s="1">
        <f t="shared" si="124"/>
        <v>798.6140011911195</v>
      </c>
      <c r="BS89" s="1">
        <f t="shared" si="125"/>
        <v>0</v>
      </c>
      <c r="BT89" s="1">
        <f t="shared" si="126"/>
        <v>1912.7603942528503</v>
      </c>
      <c r="BU89" s="1">
        <f t="shared" si="127"/>
        <v>18310.1155812344</v>
      </c>
      <c r="BV89" s="1">
        <f t="shared" si="128"/>
        <v>9008.576865967325</v>
      </c>
      <c r="BW89" s="1">
        <f t="shared" si="129"/>
        <v>36620.2311624688</v>
      </c>
      <c r="BX89" s="1">
        <f t="shared" si="130"/>
        <v>3662.0231162468804</v>
      </c>
      <c r="BY89" s="1">
        <f t="shared" si="131"/>
        <v>2442.569418536669</v>
      </c>
      <c r="BZ89" s="1">
        <f t="shared" si="132"/>
        <v>5493.03467437032</v>
      </c>
      <c r="CA89" s="1">
        <f t="shared" si="133"/>
        <v>35294.87175623673</v>
      </c>
      <c r="CB89" s="1">
        <f t="shared" si="134"/>
        <v>25474.9434173696</v>
      </c>
      <c r="CC89" s="1">
        <f t="shared" si="135"/>
        <v>101909.77328278316</v>
      </c>
      <c r="CD89" s="1">
        <f t="shared" si="86"/>
        <v>308501.5647843458</v>
      </c>
      <c r="CE89" s="1">
        <f t="shared" si="87"/>
        <v>154250.7823921729</v>
      </c>
      <c r="CF89" s="1">
        <f t="shared" si="88"/>
        <v>715162.7183637108</v>
      </c>
      <c r="CG89" t="s">
        <v>87</v>
      </c>
      <c r="CH89" s="4" t="s">
        <v>166</v>
      </c>
      <c r="CI89" s="1">
        <v>2926202</v>
      </c>
      <c r="CJ89" s="102">
        <v>337.3515</v>
      </c>
      <c r="CK89" s="1">
        <v>805.928</v>
      </c>
      <c r="CL89" s="1">
        <f t="shared" si="136"/>
        <v>1143.2795</v>
      </c>
      <c r="CM89" s="1">
        <v>280.240592770685</v>
      </c>
      <c r="CN89" s="1">
        <v>646.54978185525</v>
      </c>
      <c r="CO89" s="1">
        <f t="shared" si="137"/>
        <v>926.790374625935</v>
      </c>
      <c r="CP89" s="1">
        <f t="shared" si="89"/>
        <v>305.47010747670816</v>
      </c>
      <c r="CQ89" s="1">
        <f t="shared" si="90"/>
        <v>161.72492037222565</v>
      </c>
      <c r="CR89" s="1">
        <f t="shared" si="91"/>
        <v>422.245694679576</v>
      </c>
      <c r="CS89" s="1">
        <f t="shared" si="92"/>
        <v>85.41702590859447</v>
      </c>
      <c r="CT89" s="1">
        <f t="shared" si="93"/>
        <v>10.72601975910887</v>
      </c>
      <c r="CU89" s="1">
        <f t="shared" si="94"/>
        <v>162.2602713339661</v>
      </c>
    </row>
    <row r="90" spans="1:99" ht="12.75">
      <c r="A90" t="s">
        <v>88</v>
      </c>
      <c r="B90" s="1">
        <v>1234922</v>
      </c>
      <c r="C90" s="5" t="s">
        <v>89</v>
      </c>
      <c r="D90" s="113">
        <v>4.3</v>
      </c>
      <c r="E90" s="29">
        <v>3.8</v>
      </c>
      <c r="F90" s="29">
        <v>30.8</v>
      </c>
      <c r="G90" s="106">
        <v>29</v>
      </c>
      <c r="H90" s="115">
        <v>5.8</v>
      </c>
      <c r="I90" s="1">
        <f t="shared" si="95"/>
        <v>53101.64599999999</v>
      </c>
      <c r="J90" s="1">
        <f t="shared" si="96"/>
        <v>46927.03599999999</v>
      </c>
      <c r="K90" s="1">
        <f t="shared" si="97"/>
        <v>380355.976</v>
      </c>
      <c r="L90" s="1">
        <f t="shared" si="98"/>
        <v>358127.38</v>
      </c>
      <c r="M90" s="1">
        <f t="shared" si="99"/>
        <v>71625.476</v>
      </c>
      <c r="N90" s="12">
        <f t="shared" si="138"/>
        <v>-0.14072</v>
      </c>
      <c r="O90" s="12">
        <f t="shared" si="139"/>
        <v>-0.020040000000000002</v>
      </c>
      <c r="P90" s="12">
        <f t="shared" si="140"/>
        <v>-0.06530999999999998</v>
      </c>
      <c r="Q90" s="12">
        <f t="shared" si="141"/>
        <v>-0.18544000000000005</v>
      </c>
      <c r="R90" s="12">
        <f t="shared" si="142"/>
        <v>-0.067122</v>
      </c>
      <c r="S90" s="1">
        <f t="shared" si="100"/>
        <v>141646.73892511998</v>
      </c>
      <c r="T90" s="2">
        <f t="shared" si="101"/>
        <v>0.11470095999999998</v>
      </c>
      <c r="U90" s="1">
        <f t="shared" si="102"/>
        <v>16289.374976388799</v>
      </c>
      <c r="V90" s="1">
        <f t="shared" si="103"/>
        <v>9915.271724758399</v>
      </c>
      <c r="W90" s="1">
        <f t="shared" si="104"/>
        <v>4957.635862379199</v>
      </c>
      <c r="X90" s="1">
        <f t="shared" si="105"/>
        <v>22985.402634667196</v>
      </c>
      <c r="Y90" s="1">
        <f t="shared" si="106"/>
        <v>2039.7130405217276</v>
      </c>
      <c r="Z90" s="1">
        <f t="shared" si="107"/>
        <v>1019.8565202608638</v>
      </c>
      <c r="AA90" s="1">
        <f t="shared" si="108"/>
        <v>4728.425684845823</v>
      </c>
      <c r="AB90" s="1">
        <f t="shared" si="109"/>
        <v>39543.69008181245</v>
      </c>
      <c r="AC90" s="1">
        <f t="shared" si="110"/>
        <v>19771.845040906224</v>
      </c>
      <c r="AD90" s="1">
        <f t="shared" si="111"/>
        <v>91669.46337147432</v>
      </c>
      <c r="AE90" s="1">
        <f t="shared" si="112"/>
        <v>23405.3671878134</v>
      </c>
      <c r="AF90" s="1">
        <f t="shared" si="113"/>
        <v>11702.6835939067</v>
      </c>
      <c r="AG90" s="1">
        <f t="shared" si="114"/>
        <v>54257.89666265834</v>
      </c>
      <c r="AH90"/>
      <c r="AI90"/>
      <c r="AJ90" s="211" t="s">
        <v>678</v>
      </c>
      <c r="AK90" s="219"/>
      <c r="AL90" s="219"/>
      <c r="AM90" s="220"/>
      <c r="AN90"/>
      <c r="AP90" t="s">
        <v>88</v>
      </c>
      <c r="AQ90" s="5" t="s">
        <v>168</v>
      </c>
      <c r="AR90" s="1">
        <v>1234922</v>
      </c>
      <c r="AS90" s="1">
        <v>141646.73892511998</v>
      </c>
      <c r="AT90" s="1">
        <v>70823.36946255999</v>
      </c>
      <c r="AU90" s="1">
        <v>328362.89478095993</v>
      </c>
      <c r="AV90" s="1">
        <v>16289.374976388799</v>
      </c>
      <c r="AW90" s="1">
        <v>11331.739114009599</v>
      </c>
      <c r="AX90" s="1">
        <v>46743.423845289595</v>
      </c>
      <c r="AY90" s="1">
        <f t="shared" si="115"/>
        <v>2980.9556206791503</v>
      </c>
      <c r="AZ90" s="1">
        <f t="shared" si="116"/>
        <v>1742.547417624204</v>
      </c>
      <c r="BA90" s="1">
        <f t="shared" si="117"/>
        <v>4114.911138785499</v>
      </c>
      <c r="BB90" s="1">
        <f t="shared" si="118"/>
        <v>944.7837486305503</v>
      </c>
      <c r="BC90" s="1">
        <f t="shared" si="119"/>
        <v>0</v>
      </c>
      <c r="BD90" s="1">
        <f t="shared" si="120"/>
        <v>2262.851556345031</v>
      </c>
      <c r="BE90" s="1">
        <f t="shared" si="80"/>
        <v>8144.6874881943995</v>
      </c>
      <c r="BF90" s="1">
        <f t="shared" si="81"/>
        <v>4007.1862441916446</v>
      </c>
      <c r="BG90" s="1">
        <f t="shared" si="82"/>
        <v>16289.374976388799</v>
      </c>
      <c r="BH90" s="1">
        <f t="shared" si="83"/>
        <v>1628.93749763888</v>
      </c>
      <c r="BI90" s="1">
        <f t="shared" si="84"/>
        <v>1086.5013109251329</v>
      </c>
      <c r="BJ90" s="1">
        <f t="shared" si="85"/>
        <v>2443.40624645832</v>
      </c>
      <c r="BL90" s="2">
        <v>0.8</v>
      </c>
      <c r="BM90" s="2">
        <v>0</v>
      </c>
      <c r="BO90" s="1">
        <f t="shared" si="121"/>
        <v>2980.9556206791503</v>
      </c>
      <c r="BP90" s="1">
        <f t="shared" si="122"/>
        <v>1742.547417624204</v>
      </c>
      <c r="BQ90" s="1">
        <f t="shared" si="123"/>
        <v>4114.911138785499</v>
      </c>
      <c r="BR90" s="1">
        <f t="shared" si="124"/>
        <v>340.1221495069981</v>
      </c>
      <c r="BS90" s="1">
        <f t="shared" si="125"/>
        <v>0</v>
      </c>
      <c r="BT90" s="1">
        <f t="shared" si="126"/>
        <v>814.6265602842111</v>
      </c>
      <c r="BU90" s="1">
        <f t="shared" si="127"/>
        <v>8144.6874881943995</v>
      </c>
      <c r="BV90" s="1">
        <f t="shared" si="128"/>
        <v>4007.1862441916446</v>
      </c>
      <c r="BW90" s="1">
        <f t="shared" si="129"/>
        <v>16289.374976388799</v>
      </c>
      <c r="BX90" s="1">
        <f t="shared" si="130"/>
        <v>1628.93749763888</v>
      </c>
      <c r="BY90" s="1">
        <f t="shared" si="131"/>
        <v>1086.5013109251329</v>
      </c>
      <c r="BZ90" s="1">
        <f t="shared" si="132"/>
        <v>2443.40624645832</v>
      </c>
      <c r="CA90" s="1">
        <f t="shared" si="133"/>
        <v>15684.713377265247</v>
      </c>
      <c r="CB90" s="1">
        <f t="shared" si="134"/>
        <v>11331.739114009599</v>
      </c>
      <c r="CC90" s="1">
        <f t="shared" si="135"/>
        <v>45295.19884922878</v>
      </c>
      <c r="CD90" s="1">
        <f t="shared" si="86"/>
        <v>137114.04327951613</v>
      </c>
      <c r="CE90" s="1">
        <f t="shared" si="87"/>
        <v>68557.02163975807</v>
      </c>
      <c r="CF90" s="1">
        <f t="shared" si="88"/>
        <v>317855.28214796924</v>
      </c>
      <c r="CG90" t="s">
        <v>88</v>
      </c>
      <c r="CH90" s="5" t="s">
        <v>168</v>
      </c>
      <c r="CI90" s="1">
        <v>1234922</v>
      </c>
      <c r="CJ90" s="102">
        <v>296.524</v>
      </c>
      <c r="CK90" s="1">
        <v>1767.152</v>
      </c>
      <c r="CL90" s="1">
        <f t="shared" si="136"/>
        <v>2063.676</v>
      </c>
      <c r="CM90" s="1">
        <v>282.549378497791</v>
      </c>
      <c r="CN90" s="1">
        <v>1626.50159863857</v>
      </c>
      <c r="CO90" s="1">
        <f t="shared" si="137"/>
        <v>1909.0509771363609</v>
      </c>
      <c r="CP90" s="1">
        <f t="shared" si="89"/>
        <v>629.2232020641445</v>
      </c>
      <c r="CQ90" s="1">
        <f t="shared" si="90"/>
        <v>333.12939551029496</v>
      </c>
      <c r="CR90" s="1">
        <f t="shared" si="91"/>
        <v>869.763625183326</v>
      </c>
      <c r="CS90" s="1">
        <f t="shared" si="92"/>
        <v>169.12262665997076</v>
      </c>
      <c r="CT90" s="1">
        <f t="shared" si="93"/>
        <v>21.164265140053466</v>
      </c>
      <c r="CU90" s="1">
        <f t="shared" si="94"/>
        <v>322.4114968875963</v>
      </c>
    </row>
    <row r="91" spans="1:99" ht="12.75">
      <c r="A91" t="s">
        <v>90</v>
      </c>
      <c r="B91" s="1">
        <v>1469919</v>
      </c>
      <c r="C91" s="5" t="s">
        <v>89</v>
      </c>
      <c r="D91" s="113">
        <v>6</v>
      </c>
      <c r="E91" s="29">
        <v>12.8</v>
      </c>
      <c r="F91" s="29">
        <v>51.5</v>
      </c>
      <c r="G91" s="113">
        <v>8.6</v>
      </c>
      <c r="H91" s="107">
        <v>12.3</v>
      </c>
      <c r="I91" s="1">
        <f t="shared" si="95"/>
        <v>88195.14</v>
      </c>
      <c r="J91" s="1">
        <f t="shared" si="96"/>
        <v>188149.63199999998</v>
      </c>
      <c r="K91" s="1">
        <f t="shared" si="97"/>
        <v>757008.285</v>
      </c>
      <c r="L91" s="1">
        <f t="shared" si="98"/>
        <v>126413.034</v>
      </c>
      <c r="M91" s="1">
        <f t="shared" si="99"/>
        <v>180800.03699999998</v>
      </c>
      <c r="N91" s="12">
        <f t="shared" si="138"/>
        <v>-0.12712</v>
      </c>
      <c r="O91" s="12">
        <f t="shared" si="139"/>
        <v>0.015960000000000002</v>
      </c>
      <c r="P91" s="12">
        <f t="shared" si="140"/>
        <v>-0.0032099999999999794</v>
      </c>
      <c r="Q91" s="12">
        <f t="shared" si="141"/>
        <v>-0.34864000000000006</v>
      </c>
      <c r="R91" s="12">
        <f t="shared" si="142"/>
        <v>-0.0027719999999999832</v>
      </c>
      <c r="S91" s="1">
        <f t="shared" si="100"/>
        <v>172756.58143524</v>
      </c>
      <c r="T91" s="2">
        <f t="shared" si="101"/>
        <v>0.11752795999999999</v>
      </c>
      <c r="U91" s="1">
        <f t="shared" si="102"/>
        <v>19867.0068650526</v>
      </c>
      <c r="V91" s="1">
        <f t="shared" si="103"/>
        <v>10900.594775400772</v>
      </c>
      <c r="W91" s="1">
        <f t="shared" si="104"/>
        <v>5450.297387700386</v>
      </c>
      <c r="X91" s="1">
        <f t="shared" si="105"/>
        <v>25269.560615701797</v>
      </c>
      <c r="Y91" s="1">
        <f t="shared" si="106"/>
        <v>1437.3347575411963</v>
      </c>
      <c r="Z91" s="1">
        <f t="shared" si="107"/>
        <v>718.6673787705981</v>
      </c>
      <c r="AA91" s="1">
        <f t="shared" si="108"/>
        <v>3332.003301572773</v>
      </c>
      <c r="AB91" s="1">
        <f t="shared" si="109"/>
        <v>47257.11368449817</v>
      </c>
      <c r="AC91" s="1">
        <f t="shared" si="110"/>
        <v>23628.556842249083</v>
      </c>
      <c r="AD91" s="1">
        <f t="shared" si="111"/>
        <v>109550.58172315484</v>
      </c>
      <c r="AE91" s="1">
        <f t="shared" si="112"/>
        <v>27970.836705769198</v>
      </c>
      <c r="AF91" s="1">
        <f t="shared" si="113"/>
        <v>13985.418352884599</v>
      </c>
      <c r="AG91" s="1">
        <f t="shared" si="114"/>
        <v>64841.485090646784</v>
      </c>
      <c r="AH91"/>
      <c r="AI91"/>
      <c r="AJ91" s="215" t="s">
        <v>679</v>
      </c>
      <c r="AK91" s="221"/>
      <c r="AL91" s="221"/>
      <c r="AM91" s="222"/>
      <c r="AN91"/>
      <c r="AP91" t="s">
        <v>90</v>
      </c>
      <c r="AQ91" s="5" t="s">
        <v>168</v>
      </c>
      <c r="AR91" s="1">
        <v>1469919</v>
      </c>
      <c r="AS91" s="1">
        <v>172756.58143524</v>
      </c>
      <c r="AT91" s="1">
        <v>86378.29071762</v>
      </c>
      <c r="AU91" s="1">
        <v>400481.16605442</v>
      </c>
      <c r="AV91" s="1">
        <v>19867.0068650526</v>
      </c>
      <c r="AW91" s="1">
        <v>13820.5265148192</v>
      </c>
      <c r="AX91" s="1">
        <v>57009.6718736292</v>
      </c>
      <c r="AY91" s="1">
        <f t="shared" si="115"/>
        <v>3635.6622563046258</v>
      </c>
      <c r="AZ91" s="1">
        <f t="shared" si="116"/>
        <v>2125.262728545432</v>
      </c>
      <c r="BA91" s="1">
        <f t="shared" si="117"/>
        <v>5018.668178602906</v>
      </c>
      <c r="BB91" s="1">
        <f t="shared" si="118"/>
        <v>1152.2863981730509</v>
      </c>
      <c r="BC91" s="1">
        <f t="shared" si="119"/>
        <v>0</v>
      </c>
      <c r="BD91" s="1">
        <f t="shared" si="120"/>
        <v>2759.841152264274</v>
      </c>
      <c r="BE91" s="1">
        <f t="shared" si="80"/>
        <v>9933.5034325263</v>
      </c>
      <c r="BF91" s="1">
        <f t="shared" si="81"/>
        <v>4887.28368880294</v>
      </c>
      <c r="BG91" s="1">
        <f t="shared" si="82"/>
        <v>19867.0068650526</v>
      </c>
      <c r="BH91" s="1">
        <f t="shared" si="83"/>
        <v>1986.7006865052601</v>
      </c>
      <c r="BI91" s="1">
        <f t="shared" si="84"/>
        <v>1325.1293578990085</v>
      </c>
      <c r="BJ91" s="1">
        <f t="shared" si="85"/>
        <v>2980.0510297578903</v>
      </c>
      <c r="BL91" s="2">
        <v>0.99</v>
      </c>
      <c r="BM91" s="2">
        <v>0.17</v>
      </c>
      <c r="BO91" s="1">
        <f t="shared" si="121"/>
        <v>3277.1859578329895</v>
      </c>
      <c r="BP91" s="1">
        <f t="shared" si="122"/>
        <v>1915.7118235108524</v>
      </c>
      <c r="BQ91" s="1">
        <f t="shared" si="123"/>
        <v>4523.827496192659</v>
      </c>
      <c r="BR91" s="1">
        <f t="shared" si="124"/>
        <v>239.67557081999462</v>
      </c>
      <c r="BS91" s="1">
        <f t="shared" si="125"/>
        <v>0</v>
      </c>
      <c r="BT91" s="1">
        <f t="shared" si="126"/>
        <v>574.046959670969</v>
      </c>
      <c r="BU91" s="1">
        <f t="shared" si="127"/>
        <v>9933.5034325263</v>
      </c>
      <c r="BV91" s="1">
        <f t="shared" si="128"/>
        <v>4887.28368880294</v>
      </c>
      <c r="BW91" s="1">
        <f t="shared" si="129"/>
        <v>19867.0068650526</v>
      </c>
      <c r="BX91" s="1">
        <f t="shared" si="130"/>
        <v>1986.7006865052601</v>
      </c>
      <c r="BY91" s="1">
        <f t="shared" si="131"/>
        <v>1325.1293578990085</v>
      </c>
      <c r="BZ91" s="1">
        <f t="shared" si="132"/>
        <v>2980.0510297578903</v>
      </c>
      <c r="CA91" s="1">
        <f t="shared" si="133"/>
        <v>18595.91973922791</v>
      </c>
      <c r="CB91" s="1">
        <f t="shared" si="134"/>
        <v>13610.97560978462</v>
      </c>
      <c r="CC91" s="1">
        <f t="shared" si="135"/>
        <v>54329.03699862565</v>
      </c>
      <c r="CD91" s="1">
        <f t="shared" si="86"/>
        <v>163859.61749132513</v>
      </c>
      <c r="CE91" s="1">
        <f t="shared" si="87"/>
        <v>81929.80874566257</v>
      </c>
      <c r="CF91" s="1">
        <f t="shared" si="88"/>
        <v>379856.38600261736</v>
      </c>
      <c r="CG91" t="s">
        <v>90</v>
      </c>
      <c r="CH91" s="5" t="s">
        <v>168</v>
      </c>
      <c r="CI91" s="1">
        <v>1469919</v>
      </c>
      <c r="CJ91" s="102">
        <v>60.84046</v>
      </c>
      <c r="CK91" s="1">
        <v>539.3993</v>
      </c>
      <c r="CL91" s="1">
        <f t="shared" si="136"/>
        <v>600.23976</v>
      </c>
      <c r="CM91" s="1">
        <v>64.6615635589672</v>
      </c>
      <c r="CN91" s="1">
        <v>647.519045330369</v>
      </c>
      <c r="CO91" s="1">
        <f t="shared" si="137"/>
        <v>712.1806088893361</v>
      </c>
      <c r="CP91" s="1">
        <f t="shared" si="89"/>
        <v>218.69722947502646</v>
      </c>
      <c r="CQ91" s="1">
        <f t="shared" si="90"/>
        <v>113.98310953657536</v>
      </c>
      <c r="CR91" s="1">
        <f t="shared" si="91"/>
        <v>306.2334627600169</v>
      </c>
      <c r="CS91" s="1">
        <f t="shared" si="92"/>
        <v>37.86965918790576</v>
      </c>
      <c r="CT91" s="1">
        <f t="shared" si="93"/>
        <v>4.5832579087642396</v>
      </c>
      <c r="CU91" s="1">
        <f t="shared" si="94"/>
        <v>74.8293457929262</v>
      </c>
    </row>
    <row r="92" spans="1:99" ht="12.75">
      <c r="A92" t="s">
        <v>91</v>
      </c>
      <c r="B92" s="1">
        <v>2167408</v>
      </c>
      <c r="C92" s="5" t="s">
        <v>89</v>
      </c>
      <c r="D92" s="30">
        <v>13</v>
      </c>
      <c r="E92" s="30">
        <v>9.9</v>
      </c>
      <c r="F92" s="29">
        <v>44.4</v>
      </c>
      <c r="G92" s="113">
        <v>62</v>
      </c>
      <c r="H92" s="29">
        <v>18.9</v>
      </c>
      <c r="I92" s="1">
        <f t="shared" si="95"/>
        <v>281763.04</v>
      </c>
      <c r="J92" s="1">
        <f t="shared" si="96"/>
        <v>214573.392</v>
      </c>
      <c r="K92" s="1">
        <f t="shared" si="97"/>
        <v>962329.152</v>
      </c>
      <c r="L92" s="1">
        <f t="shared" si="98"/>
        <v>1343792.96</v>
      </c>
      <c r="M92" s="1">
        <f t="shared" si="99"/>
        <v>409640.11199999996</v>
      </c>
      <c r="N92" s="12">
        <f t="shared" si="138"/>
        <v>-0.07112</v>
      </c>
      <c r="O92" s="12">
        <f t="shared" si="139"/>
        <v>0.004360000000000003</v>
      </c>
      <c r="P92" s="12">
        <f t="shared" si="140"/>
        <v>-0.02450999999999998</v>
      </c>
      <c r="Q92" s="12">
        <f t="shared" si="141"/>
        <v>0.07855999999999996</v>
      </c>
      <c r="R92" s="12">
        <f t="shared" si="142"/>
        <v>0.06256799999999998</v>
      </c>
      <c r="S92" s="1">
        <f t="shared" si="100"/>
        <v>500603.53817407996</v>
      </c>
      <c r="T92" s="2">
        <f t="shared" si="101"/>
        <v>0.23096876</v>
      </c>
      <c r="U92" s="1">
        <f t="shared" si="102"/>
        <v>57569.4068900192</v>
      </c>
      <c r="V92" s="1">
        <f t="shared" si="103"/>
        <v>35042.2476721856</v>
      </c>
      <c r="W92" s="1">
        <f t="shared" si="104"/>
        <v>17521.1238360928</v>
      </c>
      <c r="X92" s="1">
        <f t="shared" si="105"/>
        <v>81234.30142188481</v>
      </c>
      <c r="Y92" s="1">
        <f t="shared" si="106"/>
        <v>4965.987098686874</v>
      </c>
      <c r="Z92" s="1">
        <f t="shared" si="107"/>
        <v>2482.993549343437</v>
      </c>
      <c r="AA92" s="1">
        <f t="shared" si="108"/>
        <v>11512.061001501395</v>
      </c>
      <c r="AB92" s="1">
        <f t="shared" si="109"/>
        <v>138945.59573801103</v>
      </c>
      <c r="AC92" s="1">
        <f t="shared" si="110"/>
        <v>69472.79786900552</v>
      </c>
      <c r="AD92" s="1">
        <f t="shared" si="111"/>
        <v>322101.1537562984</v>
      </c>
      <c r="AE92" s="1">
        <f t="shared" si="112"/>
        <v>82239.99026518199</v>
      </c>
      <c r="AF92" s="1">
        <f t="shared" si="113"/>
        <v>41119.99513259099</v>
      </c>
      <c r="AG92" s="1">
        <f t="shared" si="114"/>
        <v>190647.25016019464</v>
      </c>
      <c r="AH92"/>
      <c r="AI92"/>
      <c r="AN92"/>
      <c r="AP92" t="s">
        <v>91</v>
      </c>
      <c r="AQ92" s="5" t="s">
        <v>168</v>
      </c>
      <c r="AR92" s="1">
        <v>2167408</v>
      </c>
      <c r="AS92" s="1">
        <v>500603.53817407996</v>
      </c>
      <c r="AT92" s="1">
        <v>250301.76908703998</v>
      </c>
      <c r="AU92" s="1">
        <v>1160490.0203126401</v>
      </c>
      <c r="AV92" s="1">
        <v>57569.4068900192</v>
      </c>
      <c r="AW92" s="1">
        <v>40048.283053926396</v>
      </c>
      <c r="AX92" s="1">
        <v>165199.1675974464</v>
      </c>
      <c r="AY92" s="1">
        <f t="shared" si="115"/>
        <v>10535.201460873513</v>
      </c>
      <c r="AZ92" s="1">
        <f t="shared" si="116"/>
        <v>6158.457365968221</v>
      </c>
      <c r="BA92" s="1">
        <f t="shared" si="117"/>
        <v>14542.7920965898</v>
      </c>
      <c r="BB92" s="1">
        <f t="shared" si="118"/>
        <v>3339.0255996211135</v>
      </c>
      <c r="BC92" s="1">
        <f t="shared" si="119"/>
        <v>0</v>
      </c>
      <c r="BD92" s="1">
        <f t="shared" si="120"/>
        <v>7997.300213652528</v>
      </c>
      <c r="BE92" s="1">
        <f t="shared" si="80"/>
        <v>28784.7034450096</v>
      </c>
      <c r="BF92" s="1">
        <f t="shared" si="81"/>
        <v>14162.074094944723</v>
      </c>
      <c r="BG92" s="1">
        <f t="shared" si="82"/>
        <v>57569.4068900192</v>
      </c>
      <c r="BH92" s="1">
        <f t="shared" si="83"/>
        <v>5756.94068900192</v>
      </c>
      <c r="BI92" s="1">
        <f t="shared" si="84"/>
        <v>3839.879439564281</v>
      </c>
      <c r="BJ92" s="1">
        <f t="shared" si="85"/>
        <v>8635.41103350288</v>
      </c>
      <c r="BL92" s="2">
        <v>0.94</v>
      </c>
      <c r="BM92" s="2">
        <v>0</v>
      </c>
      <c r="BO92" s="1">
        <f t="shared" si="121"/>
        <v>10535.201460873513</v>
      </c>
      <c r="BP92" s="1">
        <f t="shared" si="122"/>
        <v>6158.457365968221</v>
      </c>
      <c r="BQ92" s="1">
        <f t="shared" si="123"/>
        <v>14542.7920965898</v>
      </c>
      <c r="BR92" s="1">
        <f t="shared" si="124"/>
        <v>828.0783487060362</v>
      </c>
      <c r="BS92" s="1">
        <f t="shared" si="125"/>
        <v>0</v>
      </c>
      <c r="BT92" s="1">
        <f t="shared" si="126"/>
        <v>1983.330452985827</v>
      </c>
      <c r="BU92" s="1">
        <f t="shared" si="127"/>
        <v>28784.7034450096</v>
      </c>
      <c r="BV92" s="1">
        <f t="shared" si="128"/>
        <v>14162.074094944723</v>
      </c>
      <c r="BW92" s="1">
        <f t="shared" si="129"/>
        <v>57569.4068900192</v>
      </c>
      <c r="BX92" s="1">
        <f t="shared" si="130"/>
        <v>5756.94068900192</v>
      </c>
      <c r="BY92" s="1">
        <f t="shared" si="131"/>
        <v>3839.879439564281</v>
      </c>
      <c r="BZ92" s="1">
        <f t="shared" si="132"/>
        <v>8635.41103350288</v>
      </c>
      <c r="CA92" s="1">
        <f t="shared" si="133"/>
        <v>55058.45963910412</v>
      </c>
      <c r="CB92" s="1">
        <f t="shared" si="134"/>
        <v>40048.283053926396</v>
      </c>
      <c r="CC92" s="1">
        <f t="shared" si="135"/>
        <v>159185.1978367797</v>
      </c>
      <c r="CD92" s="1">
        <f t="shared" si="86"/>
        <v>481780.84513873456</v>
      </c>
      <c r="CE92" s="1">
        <f t="shared" si="87"/>
        <v>240890.42256936728</v>
      </c>
      <c r="CF92" s="1">
        <f t="shared" si="88"/>
        <v>1116855.595548885</v>
      </c>
      <c r="CG92" t="s">
        <v>91</v>
      </c>
      <c r="CH92" s="5" t="s">
        <v>168</v>
      </c>
      <c r="CI92" s="1">
        <v>2167408</v>
      </c>
      <c r="CJ92" s="102">
        <v>339.6142</v>
      </c>
      <c r="CK92" s="1">
        <v>1782.297</v>
      </c>
      <c r="CL92" s="1">
        <f t="shared" si="136"/>
        <v>2121.9112</v>
      </c>
      <c r="CM92" s="1">
        <v>342.248794935597</v>
      </c>
      <c r="CN92" s="1">
        <v>1669.53846576985</v>
      </c>
      <c r="CO92" s="1">
        <f t="shared" si="137"/>
        <v>2011.7872607054471</v>
      </c>
      <c r="CP92" s="1">
        <f t="shared" si="89"/>
        <v>663.0850811285154</v>
      </c>
      <c r="CQ92" s="1">
        <f t="shared" si="90"/>
        <v>351.0568769931005</v>
      </c>
      <c r="CR92" s="1">
        <f t="shared" si="91"/>
        <v>916.5702759774017</v>
      </c>
      <c r="CS92" s="1">
        <f t="shared" si="92"/>
        <v>126.25633830026514</v>
      </c>
      <c r="CT92" s="1">
        <f t="shared" si="93"/>
        <v>15.417622235803506</v>
      </c>
      <c r="CU92" s="1">
        <f t="shared" si="94"/>
        <v>247.03834397768114</v>
      </c>
    </row>
    <row r="93" spans="1:99" ht="12.75">
      <c r="A93" t="s">
        <v>92</v>
      </c>
      <c r="B93" s="1">
        <v>1237203</v>
      </c>
      <c r="C93" s="5" t="s">
        <v>89</v>
      </c>
      <c r="D93" s="113">
        <v>16.6</v>
      </c>
      <c r="E93" s="29">
        <v>4.8</v>
      </c>
      <c r="F93" s="29">
        <v>50.7</v>
      </c>
      <c r="G93" s="116">
        <v>94</v>
      </c>
      <c r="H93" s="115">
        <v>12.3</v>
      </c>
      <c r="I93" s="1">
        <f t="shared" si="95"/>
        <v>205375.698</v>
      </c>
      <c r="J93" s="1">
        <f t="shared" si="96"/>
        <v>59385.74399999999</v>
      </c>
      <c r="K93" s="1">
        <f t="shared" si="97"/>
        <v>627261.921</v>
      </c>
      <c r="L93" s="1">
        <f t="shared" si="98"/>
        <v>1162970.82</v>
      </c>
      <c r="M93" s="1">
        <f t="shared" si="99"/>
        <v>152175.969</v>
      </c>
      <c r="N93" s="12">
        <f t="shared" si="138"/>
        <v>-0.04232</v>
      </c>
      <c r="O93" s="12">
        <f t="shared" si="139"/>
        <v>-0.01604</v>
      </c>
      <c r="P93" s="12">
        <f t="shared" si="140"/>
        <v>-0.005609999999999981</v>
      </c>
      <c r="Q93" s="12">
        <f t="shared" si="141"/>
        <v>0.33455999999999997</v>
      </c>
      <c r="R93" s="12">
        <f t="shared" si="142"/>
        <v>-0.0027719999999999832</v>
      </c>
      <c r="S93" s="1">
        <f t="shared" si="100"/>
        <v>345080.61127188</v>
      </c>
      <c r="T93" s="2">
        <f t="shared" si="101"/>
        <v>0.27891995999999997</v>
      </c>
      <c r="U93" s="1">
        <f t="shared" si="102"/>
        <v>39684.2702962662</v>
      </c>
      <c r="V93" s="1">
        <f t="shared" si="103"/>
        <v>24155.6427890316</v>
      </c>
      <c r="W93" s="1">
        <f t="shared" si="104"/>
        <v>12077.8213945158</v>
      </c>
      <c r="X93" s="1">
        <f t="shared" si="105"/>
        <v>55997.1719200278</v>
      </c>
      <c r="Y93" s="1">
        <f t="shared" si="106"/>
        <v>13803.2244508752</v>
      </c>
      <c r="Z93" s="1">
        <f t="shared" si="107"/>
        <v>6901.6122254376</v>
      </c>
      <c r="AA93" s="1">
        <f t="shared" si="108"/>
        <v>31998.383954301597</v>
      </c>
      <c r="AB93" s="1">
        <f t="shared" si="109"/>
        <v>99521.24829081018</v>
      </c>
      <c r="AC93" s="1">
        <f t="shared" si="110"/>
        <v>49760.62414540509</v>
      </c>
      <c r="AD93" s="1">
        <f t="shared" si="111"/>
        <v>230708.3483105145</v>
      </c>
      <c r="AE93" s="1">
        <f t="shared" si="112"/>
        <v>58905.26034410991</v>
      </c>
      <c r="AF93" s="1">
        <f t="shared" si="113"/>
        <v>29452.630172054956</v>
      </c>
      <c r="AG93" s="1">
        <f t="shared" si="114"/>
        <v>136553.10352498206</v>
      </c>
      <c r="AH93"/>
      <c r="AI93"/>
      <c r="AN93"/>
      <c r="AP93" t="s">
        <v>92</v>
      </c>
      <c r="AQ93" s="5" t="s">
        <v>168</v>
      </c>
      <c r="AR93" s="1">
        <v>1237203</v>
      </c>
      <c r="AS93" s="1">
        <v>345080.61127188</v>
      </c>
      <c r="AT93" s="1">
        <v>172540.30563594</v>
      </c>
      <c r="AU93" s="1">
        <v>799959.5988575399</v>
      </c>
      <c r="AV93" s="1">
        <v>39684.2702962662</v>
      </c>
      <c r="AW93" s="1">
        <v>27606.4489017504</v>
      </c>
      <c r="AX93" s="1">
        <v>113876.6017197204</v>
      </c>
      <c r="AY93" s="1">
        <f t="shared" si="115"/>
        <v>7262.221464216715</v>
      </c>
      <c r="AZ93" s="1">
        <f t="shared" si="116"/>
        <v>4245.204179122523</v>
      </c>
      <c r="BA93" s="1">
        <f t="shared" si="117"/>
        <v>10024.770509204753</v>
      </c>
      <c r="BB93" s="1">
        <f t="shared" si="118"/>
        <v>2301.68767718344</v>
      </c>
      <c r="BC93" s="1">
        <f t="shared" si="119"/>
        <v>0</v>
      </c>
      <c r="BD93" s="1">
        <f t="shared" si="120"/>
        <v>5512.772155622057</v>
      </c>
      <c r="BE93" s="1">
        <f t="shared" si="80"/>
        <v>19842.1351481331</v>
      </c>
      <c r="BF93" s="1">
        <f t="shared" si="81"/>
        <v>9762.330492881485</v>
      </c>
      <c r="BG93" s="1">
        <f t="shared" si="82"/>
        <v>39684.2702962662</v>
      </c>
      <c r="BH93" s="1">
        <f t="shared" si="83"/>
        <v>3968.4270296266204</v>
      </c>
      <c r="BI93" s="1">
        <f t="shared" si="84"/>
        <v>2646.940828760956</v>
      </c>
      <c r="BJ93" s="1">
        <f t="shared" si="85"/>
        <v>5952.640544439931</v>
      </c>
      <c r="BL93" s="2">
        <v>0</v>
      </c>
      <c r="BM93" s="2">
        <v>0</v>
      </c>
      <c r="BO93" s="1">
        <f t="shared" si="121"/>
        <v>7262.221464216715</v>
      </c>
      <c r="BP93" s="1">
        <f t="shared" si="122"/>
        <v>4245.204179122523</v>
      </c>
      <c r="BQ93" s="1">
        <f t="shared" si="123"/>
        <v>10024.770509204753</v>
      </c>
      <c r="BR93" s="1">
        <f t="shared" si="124"/>
        <v>2301.68767718344</v>
      </c>
      <c r="BS93" s="1">
        <f t="shared" si="125"/>
        <v>0</v>
      </c>
      <c r="BT93" s="1">
        <f t="shared" si="126"/>
        <v>5512.772155622057</v>
      </c>
      <c r="BU93" s="1">
        <f t="shared" si="127"/>
        <v>19842.1351481331</v>
      </c>
      <c r="BV93" s="1">
        <f t="shared" si="128"/>
        <v>9762.330492881485</v>
      </c>
      <c r="BW93" s="1">
        <f t="shared" si="129"/>
        <v>39684.2702962662</v>
      </c>
      <c r="BX93" s="1">
        <f t="shared" si="130"/>
        <v>3968.4270296266204</v>
      </c>
      <c r="BY93" s="1">
        <f t="shared" si="131"/>
        <v>2646.940828760956</v>
      </c>
      <c r="BZ93" s="1">
        <f t="shared" si="132"/>
        <v>5952.640544439931</v>
      </c>
      <c r="CA93" s="1">
        <f t="shared" si="133"/>
        <v>39684.2702962662</v>
      </c>
      <c r="CB93" s="1">
        <f t="shared" si="134"/>
        <v>27606.4489017504</v>
      </c>
      <c r="CC93" s="1">
        <f t="shared" si="135"/>
        <v>113876.6017197204</v>
      </c>
      <c r="CD93" s="1">
        <f t="shared" si="86"/>
        <v>345080.61127188</v>
      </c>
      <c r="CE93" s="1">
        <f t="shared" si="87"/>
        <v>172540.30563594</v>
      </c>
      <c r="CF93" s="1">
        <f t="shared" si="88"/>
        <v>799959.5988575399</v>
      </c>
      <c r="CG93" t="s">
        <v>92</v>
      </c>
      <c r="CH93" s="5" t="s">
        <v>168</v>
      </c>
      <c r="CI93" s="1">
        <v>1237203</v>
      </c>
      <c r="CJ93" s="102">
        <v>541.2966</v>
      </c>
      <c r="CK93" s="1">
        <v>4137.385</v>
      </c>
      <c r="CL93" s="1">
        <f t="shared" si="136"/>
        <v>4678.6816</v>
      </c>
      <c r="CM93" s="1">
        <v>501.612171749487</v>
      </c>
      <c r="CN93" s="1">
        <v>3588.35820118594</v>
      </c>
      <c r="CO93" s="1">
        <f t="shared" si="137"/>
        <v>4089.970372935427</v>
      </c>
      <c r="CP93" s="1">
        <f t="shared" si="89"/>
        <v>1348.0542349195168</v>
      </c>
      <c r="CQ93" s="1">
        <f t="shared" si="90"/>
        <v>713.6998300772319</v>
      </c>
      <c r="CR93" s="1">
        <f t="shared" si="91"/>
        <v>1863.3905019093804</v>
      </c>
      <c r="CS93" s="1">
        <f t="shared" si="92"/>
        <v>869.5277012860718</v>
      </c>
      <c r="CT93" s="1">
        <f t="shared" si="93"/>
        <v>123.51710526264989</v>
      </c>
      <c r="CU93" s="1">
        <f t="shared" si="94"/>
        <v>1475.661310555102</v>
      </c>
    </row>
    <row r="94" spans="1:99" ht="12.75">
      <c r="A94" t="s">
        <v>93</v>
      </c>
      <c r="B94" s="1">
        <v>677569</v>
      </c>
      <c r="C94" s="5" t="s">
        <v>89</v>
      </c>
      <c r="D94" s="113">
        <v>6</v>
      </c>
      <c r="E94" s="119">
        <v>9</v>
      </c>
      <c r="F94" s="115">
        <v>62.1</v>
      </c>
      <c r="G94" s="116">
        <v>57</v>
      </c>
      <c r="H94" s="115">
        <v>17.3</v>
      </c>
      <c r="I94" s="1">
        <f t="shared" si="95"/>
        <v>40654.14</v>
      </c>
      <c r="J94" s="1">
        <f t="shared" si="96"/>
        <v>60981.21</v>
      </c>
      <c r="K94" s="1">
        <f t="shared" si="97"/>
        <v>420770.349</v>
      </c>
      <c r="L94" s="1">
        <f t="shared" si="98"/>
        <v>386214.33</v>
      </c>
      <c r="M94" s="1">
        <f t="shared" si="99"/>
        <v>117219.437</v>
      </c>
      <c r="N94" s="12">
        <f t="shared" si="138"/>
        <v>-0.12712</v>
      </c>
      <c r="O94" s="12">
        <f t="shared" si="139"/>
        <v>0.0007599999999999996</v>
      </c>
      <c r="P94" s="12">
        <f t="shared" si="140"/>
        <v>0.028590000000000015</v>
      </c>
      <c r="Q94" s="12">
        <f t="shared" si="141"/>
        <v>0.03855999999999993</v>
      </c>
      <c r="R94" s="12">
        <f t="shared" si="142"/>
        <v>0.04672800000000002</v>
      </c>
      <c r="S94" s="1">
        <f t="shared" si="100"/>
        <v>147204.54842324</v>
      </c>
      <c r="T94" s="2">
        <f t="shared" si="101"/>
        <v>0.21725396</v>
      </c>
      <c r="U94" s="1">
        <f t="shared" si="102"/>
        <v>16928.5230686726</v>
      </c>
      <c r="V94" s="1">
        <f t="shared" si="103"/>
        <v>10304.3183896268</v>
      </c>
      <c r="W94" s="1">
        <f t="shared" si="104"/>
        <v>5152.1591948134</v>
      </c>
      <c r="X94" s="1">
        <f t="shared" si="105"/>
        <v>23887.2835395894</v>
      </c>
      <c r="Y94" s="1">
        <f t="shared" si="106"/>
        <v>1271.8472983767933</v>
      </c>
      <c r="Z94" s="1">
        <f t="shared" si="107"/>
        <v>635.9236491883967</v>
      </c>
      <c r="AA94" s="1">
        <f t="shared" si="108"/>
        <v>2948.373282600749</v>
      </c>
      <c r="AB94" s="1">
        <f t="shared" si="109"/>
        <v>40789.603128064125</v>
      </c>
      <c r="AC94" s="1">
        <f t="shared" si="110"/>
        <v>20394.801564032063</v>
      </c>
      <c r="AD94" s="1">
        <f t="shared" si="111"/>
        <v>94557.71634233046</v>
      </c>
      <c r="AE94" s="1">
        <f t="shared" si="112"/>
        <v>24142.80601234586</v>
      </c>
      <c r="AF94" s="1">
        <f t="shared" si="113"/>
        <v>12071.40300617293</v>
      </c>
      <c r="AG94" s="1">
        <f t="shared" si="114"/>
        <v>55967.41393771085</v>
      </c>
      <c r="AH94"/>
      <c r="AI94"/>
      <c r="AJ94"/>
      <c r="AK94"/>
      <c r="AL94"/>
      <c r="AM94"/>
      <c r="AN94"/>
      <c r="AP94" t="s">
        <v>93</v>
      </c>
      <c r="AQ94" s="5" t="s">
        <v>168</v>
      </c>
      <c r="AR94" s="1">
        <v>677569</v>
      </c>
      <c r="AS94" s="1">
        <v>147204.54842324</v>
      </c>
      <c r="AT94" s="1">
        <v>73602.27421162</v>
      </c>
      <c r="AU94" s="1">
        <v>341246.90770841995</v>
      </c>
      <c r="AV94" s="1">
        <v>16928.5230686726</v>
      </c>
      <c r="AW94" s="1">
        <v>11776.3638738592</v>
      </c>
      <c r="AX94" s="1">
        <v>48577.500979669196</v>
      </c>
      <c r="AY94" s="1">
        <f t="shared" si="115"/>
        <v>3097.9197215670856</v>
      </c>
      <c r="AZ94" s="1">
        <f t="shared" si="116"/>
        <v>1810.9199524392554</v>
      </c>
      <c r="BA94" s="1">
        <f t="shared" si="117"/>
        <v>4276.3683836512055</v>
      </c>
      <c r="BB94" s="1">
        <f t="shared" si="118"/>
        <v>981.8543379830109</v>
      </c>
      <c r="BC94" s="1">
        <f t="shared" si="119"/>
        <v>0</v>
      </c>
      <c r="BD94" s="1">
        <f t="shared" si="120"/>
        <v>2351.639324903109</v>
      </c>
      <c r="BE94" s="1">
        <f t="shared" si="80"/>
        <v>8464.2615343363</v>
      </c>
      <c r="BF94" s="1">
        <f t="shared" si="81"/>
        <v>4164.4166748934595</v>
      </c>
      <c r="BG94" s="1">
        <f t="shared" si="82"/>
        <v>16928.5230686726</v>
      </c>
      <c r="BH94" s="1">
        <f t="shared" si="83"/>
        <v>1692.85230686726</v>
      </c>
      <c r="BI94" s="1">
        <f t="shared" si="84"/>
        <v>1129.1324886804625</v>
      </c>
      <c r="BJ94" s="1">
        <f t="shared" si="85"/>
        <v>2539.27846030089</v>
      </c>
      <c r="BL94" s="2">
        <v>0.98</v>
      </c>
      <c r="BM94" s="2">
        <v>0</v>
      </c>
      <c r="BO94" s="1">
        <f t="shared" si="121"/>
        <v>3097.9197215670856</v>
      </c>
      <c r="BP94" s="1">
        <f t="shared" si="122"/>
        <v>1810.9199524392554</v>
      </c>
      <c r="BQ94" s="1">
        <f t="shared" si="123"/>
        <v>4276.3683836512055</v>
      </c>
      <c r="BR94" s="1">
        <f t="shared" si="124"/>
        <v>212.08053700433027</v>
      </c>
      <c r="BS94" s="1">
        <f t="shared" si="125"/>
        <v>0</v>
      </c>
      <c r="BT94" s="1">
        <f t="shared" si="126"/>
        <v>507.9540941790715</v>
      </c>
      <c r="BU94" s="1">
        <f t="shared" si="127"/>
        <v>8464.2615343363</v>
      </c>
      <c r="BV94" s="1">
        <f t="shared" si="128"/>
        <v>4164.4166748934595</v>
      </c>
      <c r="BW94" s="1">
        <f t="shared" si="129"/>
        <v>16928.5230686726</v>
      </c>
      <c r="BX94" s="1">
        <f t="shared" si="130"/>
        <v>1692.85230686726</v>
      </c>
      <c r="BY94" s="1">
        <f t="shared" si="131"/>
        <v>1129.1324886804625</v>
      </c>
      <c r="BZ94" s="1">
        <f t="shared" si="132"/>
        <v>2539.27846030089</v>
      </c>
      <c r="CA94" s="1">
        <f t="shared" si="133"/>
        <v>16158.749267693918</v>
      </c>
      <c r="CB94" s="1">
        <f t="shared" si="134"/>
        <v>11776.3638738592</v>
      </c>
      <c r="CC94" s="1">
        <f t="shared" si="135"/>
        <v>46733.815748945155</v>
      </c>
      <c r="CD94" s="1">
        <f t="shared" si="86"/>
        <v>141434.13012504898</v>
      </c>
      <c r="CE94" s="1">
        <f t="shared" si="87"/>
        <v>70717.06506252449</v>
      </c>
      <c r="CF94" s="1">
        <f t="shared" si="88"/>
        <v>327870.0289262499</v>
      </c>
      <c r="CG94" t="s">
        <v>93</v>
      </c>
      <c r="CH94" s="5" t="s">
        <v>168</v>
      </c>
      <c r="CI94" s="1">
        <v>677569</v>
      </c>
      <c r="CJ94" s="102">
        <v>106.2351</v>
      </c>
      <c r="CK94" s="1">
        <v>441.6078</v>
      </c>
      <c r="CL94" s="1">
        <f t="shared" si="136"/>
        <v>547.8429</v>
      </c>
      <c r="CM94" s="1">
        <v>106.545004025671</v>
      </c>
      <c r="CN94" s="1">
        <v>396.848859037833</v>
      </c>
      <c r="CO94" s="1">
        <f t="shared" si="137"/>
        <v>503.393863063504</v>
      </c>
      <c r="CP94" s="1">
        <f t="shared" si="89"/>
        <v>165.91861726573092</v>
      </c>
      <c r="CQ94" s="1">
        <f t="shared" si="90"/>
        <v>87.84222910458145</v>
      </c>
      <c r="CR94" s="1">
        <f t="shared" si="91"/>
        <v>229.34624401173244</v>
      </c>
      <c r="CS94" s="1">
        <f t="shared" si="92"/>
        <v>27.740372530913646</v>
      </c>
      <c r="CT94" s="1">
        <f t="shared" si="93"/>
        <v>3.3633727514985297</v>
      </c>
      <c r="CU94" s="1">
        <f t="shared" si="94"/>
        <v>54.70520000110919</v>
      </c>
    </row>
    <row r="95" spans="1:99" ht="12.75">
      <c r="A95" t="s">
        <v>94</v>
      </c>
      <c r="B95" s="1">
        <v>2909336</v>
      </c>
      <c r="C95" s="5" t="s">
        <v>89</v>
      </c>
      <c r="D95" s="113">
        <v>4.2</v>
      </c>
      <c r="E95" s="115">
        <v>6.3</v>
      </c>
      <c r="F95" s="115">
        <v>28.2</v>
      </c>
      <c r="G95" s="116">
        <v>32</v>
      </c>
      <c r="H95" s="115">
        <v>5.2</v>
      </c>
      <c r="I95" s="1">
        <f t="shared" si="95"/>
        <v>122192.11200000001</v>
      </c>
      <c r="J95" s="1">
        <f t="shared" si="96"/>
        <v>183288.168</v>
      </c>
      <c r="K95" s="1">
        <f t="shared" si="97"/>
        <v>820432.752</v>
      </c>
      <c r="L95" s="1">
        <f t="shared" si="98"/>
        <v>930987.52</v>
      </c>
      <c r="M95" s="1">
        <f t="shared" si="99"/>
        <v>151285.472</v>
      </c>
      <c r="N95" s="12">
        <f t="shared" si="138"/>
        <v>-0.14152</v>
      </c>
      <c r="O95" s="12">
        <f t="shared" si="139"/>
        <v>-0.01004</v>
      </c>
      <c r="P95" s="12">
        <f t="shared" si="140"/>
        <v>-0.07311</v>
      </c>
      <c r="Q95" s="12">
        <f t="shared" si="141"/>
        <v>-0.16144000000000003</v>
      </c>
      <c r="R95" s="12">
        <f t="shared" si="142"/>
        <v>-0.07306199999999999</v>
      </c>
      <c r="S95" s="1">
        <f t="shared" si="100"/>
        <v>346159.08144576</v>
      </c>
      <c r="T95" s="2">
        <f t="shared" si="101"/>
        <v>0.11898215999999999</v>
      </c>
      <c r="U95" s="1">
        <f t="shared" si="102"/>
        <v>39808.2943662624</v>
      </c>
      <c r="V95" s="1">
        <f t="shared" si="103"/>
        <v>12566.266974643982</v>
      </c>
      <c r="W95" s="1">
        <f t="shared" si="104"/>
        <v>6283.133487321991</v>
      </c>
      <c r="X95" s="1">
        <f t="shared" si="105"/>
        <v>29130.89162303832</v>
      </c>
      <c r="Y95" s="1">
        <f t="shared" si="106"/>
        <v>3544.66899400458</v>
      </c>
      <c r="Z95" s="1">
        <f t="shared" si="107"/>
        <v>1772.33449700229</v>
      </c>
      <c r="AA95" s="1">
        <f t="shared" si="108"/>
        <v>8217.187213374254</v>
      </c>
      <c r="AB95" s="1">
        <f t="shared" si="109"/>
        <v>90318.26289177957</v>
      </c>
      <c r="AC95" s="1">
        <f t="shared" si="110"/>
        <v>45159.13144588978</v>
      </c>
      <c r="AD95" s="1">
        <f t="shared" si="111"/>
        <v>209374.15488548894</v>
      </c>
      <c r="AE95" s="1">
        <f t="shared" si="112"/>
        <v>53458.139651965226</v>
      </c>
      <c r="AF95" s="1">
        <f t="shared" si="113"/>
        <v>26729.069825982613</v>
      </c>
      <c r="AG95" s="1">
        <f t="shared" si="114"/>
        <v>123925.68737501028</v>
      </c>
      <c r="AH95"/>
      <c r="AI95"/>
      <c r="AJ95"/>
      <c r="AK95"/>
      <c r="AL95"/>
      <c r="AM95"/>
      <c r="AN95"/>
      <c r="AP95" t="s">
        <v>94</v>
      </c>
      <c r="AQ95" s="5" t="s">
        <v>168</v>
      </c>
      <c r="AR95" s="1">
        <v>2909336</v>
      </c>
      <c r="AS95" s="1">
        <v>346159.08144576</v>
      </c>
      <c r="AT95" s="1">
        <v>173079.54072288</v>
      </c>
      <c r="AU95" s="1">
        <v>802459.6888060799</v>
      </c>
      <c r="AV95" s="1">
        <v>39808.2943662624</v>
      </c>
      <c r="AW95" s="1">
        <v>27692.726515660797</v>
      </c>
      <c r="AX95" s="1">
        <v>114232.4968771008</v>
      </c>
      <c r="AY95" s="1">
        <f t="shared" si="115"/>
        <v>7284.91786902602</v>
      </c>
      <c r="AZ95" s="1">
        <f t="shared" si="116"/>
        <v>4258.47158951785</v>
      </c>
      <c r="BA95" s="1">
        <f t="shared" si="117"/>
        <v>10056.100626403519</v>
      </c>
      <c r="BB95" s="1">
        <f t="shared" si="118"/>
        <v>2308.8810732432194</v>
      </c>
      <c r="BC95" s="1">
        <f t="shared" si="119"/>
        <v>0</v>
      </c>
      <c r="BD95" s="1">
        <f t="shared" si="120"/>
        <v>5530.001058524834</v>
      </c>
      <c r="BE95" s="1">
        <f t="shared" si="80"/>
        <v>19904.1471831312</v>
      </c>
      <c r="BF95" s="1">
        <f t="shared" si="81"/>
        <v>9792.84041410055</v>
      </c>
      <c r="BG95" s="1">
        <f t="shared" si="82"/>
        <v>39808.2943662624</v>
      </c>
      <c r="BH95" s="1">
        <f t="shared" si="83"/>
        <v>3980.8294366262403</v>
      </c>
      <c r="BI95" s="1">
        <f t="shared" si="84"/>
        <v>2655.2132342297023</v>
      </c>
      <c r="BJ95" s="1">
        <f t="shared" si="85"/>
        <v>5971.244154939361</v>
      </c>
      <c r="BL95" s="2">
        <v>0.93</v>
      </c>
      <c r="BM95" s="2">
        <v>0.83</v>
      </c>
      <c r="BO95" s="1">
        <f t="shared" si="121"/>
        <v>3777.958406876894</v>
      </c>
      <c r="BP95" s="1">
        <f t="shared" si="122"/>
        <v>2208.4433663239574</v>
      </c>
      <c r="BQ95" s="1">
        <f t="shared" si="123"/>
        <v>5215.093784852866</v>
      </c>
      <c r="BR95" s="1">
        <f t="shared" si="124"/>
        <v>591.0735547502641</v>
      </c>
      <c r="BS95" s="1">
        <f t="shared" si="125"/>
        <v>0</v>
      </c>
      <c r="BT95" s="1">
        <f t="shared" si="126"/>
        <v>1415.680270982357</v>
      </c>
      <c r="BU95" s="1">
        <f t="shared" si="127"/>
        <v>19904.1471831312</v>
      </c>
      <c r="BV95" s="1">
        <f t="shared" si="128"/>
        <v>9792.84041410055</v>
      </c>
      <c r="BW95" s="1">
        <f t="shared" si="129"/>
        <v>39808.2943662624</v>
      </c>
      <c r="BX95" s="1">
        <f t="shared" si="130"/>
        <v>3980.8294366262403</v>
      </c>
      <c r="BY95" s="1">
        <f t="shared" si="131"/>
        <v>2655.2132342297023</v>
      </c>
      <c r="BZ95" s="1">
        <f t="shared" si="132"/>
        <v>5971.244154939361</v>
      </c>
      <c r="CA95" s="1">
        <f t="shared" si="133"/>
        <v>34583.52738562032</v>
      </c>
      <c r="CB95" s="1">
        <f t="shared" si="134"/>
        <v>25642.698292466906</v>
      </c>
      <c r="CC95" s="1">
        <f t="shared" si="135"/>
        <v>105277.16924800767</v>
      </c>
      <c r="CD95" s="1">
        <f t="shared" si="86"/>
        <v>313170.1209839791</v>
      </c>
      <c r="CE95" s="1">
        <f t="shared" si="87"/>
        <v>156585.06049198954</v>
      </c>
      <c r="CF95" s="1">
        <f t="shared" si="88"/>
        <v>725985.2804628605</v>
      </c>
      <c r="CG95" t="s">
        <v>94</v>
      </c>
      <c r="CH95" s="5" t="s">
        <v>168</v>
      </c>
      <c r="CI95" s="1">
        <v>2909336</v>
      </c>
      <c r="CJ95" s="102">
        <v>317.4794</v>
      </c>
      <c r="CK95" s="1">
        <v>810.907</v>
      </c>
      <c r="CL95" s="1">
        <f t="shared" si="136"/>
        <v>1128.3864</v>
      </c>
      <c r="CM95" s="1">
        <v>308.44427836048</v>
      </c>
      <c r="CN95" s="1">
        <v>732.012477315853</v>
      </c>
      <c r="CO95" s="1">
        <f t="shared" si="137"/>
        <v>1040.456755676333</v>
      </c>
      <c r="CP95" s="1">
        <f t="shared" si="89"/>
        <v>211.38642093725775</v>
      </c>
      <c r="CQ95" s="1">
        <f t="shared" si="90"/>
        <v>102.79181706274245</v>
      </c>
      <c r="CR95" s="1">
        <f t="shared" si="91"/>
        <v>314.8984026367042</v>
      </c>
      <c r="CS95" s="1">
        <f t="shared" si="92"/>
        <v>67.26747583078703</v>
      </c>
      <c r="CT95" s="1">
        <f t="shared" si="93"/>
        <v>8.228872152095875</v>
      </c>
      <c r="CU95" s="1">
        <f t="shared" si="94"/>
        <v>131.36441248498198</v>
      </c>
    </row>
    <row r="96" spans="1:99" ht="12.75">
      <c r="A96" t="s">
        <v>95</v>
      </c>
      <c r="B96" s="1">
        <v>93006</v>
      </c>
      <c r="C96" s="6" t="s">
        <v>96</v>
      </c>
      <c r="D96" s="107">
        <v>5.3</v>
      </c>
      <c r="E96" s="113">
        <v>8</v>
      </c>
      <c r="F96" s="107">
        <v>74.4</v>
      </c>
      <c r="G96" s="107">
        <v>0.3</v>
      </c>
      <c r="H96" s="107">
        <v>14.7</v>
      </c>
      <c r="I96" s="1">
        <f t="shared" si="95"/>
        <v>4929.318</v>
      </c>
      <c r="J96" s="1">
        <f t="shared" si="96"/>
        <v>7440.48</v>
      </c>
      <c r="K96" s="1">
        <f t="shared" si="97"/>
        <v>69196.464</v>
      </c>
      <c r="L96" s="1">
        <f t="shared" si="98"/>
        <v>279.018</v>
      </c>
      <c r="M96" s="1">
        <f t="shared" si="99"/>
        <v>13671.882</v>
      </c>
      <c r="N96" s="12">
        <f t="shared" si="138"/>
        <v>-0.13272000000000003</v>
      </c>
      <c r="O96" s="12">
        <f t="shared" si="139"/>
        <v>-0.0032399999999999985</v>
      </c>
      <c r="P96" s="12">
        <f t="shared" si="140"/>
        <v>0.06549000000000005</v>
      </c>
      <c r="Q96" s="12">
        <f t="shared" si="141"/>
        <v>-0.4150400000000001</v>
      </c>
      <c r="R96" s="12">
        <f t="shared" si="142"/>
        <v>0.020987999999999996</v>
      </c>
      <c r="S96" s="1">
        <f t="shared" si="100"/>
        <v>10956.586710959999</v>
      </c>
      <c r="T96" s="2">
        <f t="shared" si="101"/>
        <v>0.11780515999999998</v>
      </c>
      <c r="U96" s="1">
        <f t="shared" si="102"/>
        <v>1260.0074717604</v>
      </c>
      <c r="V96" s="1">
        <f t="shared" si="103"/>
        <v>326.57202350687385</v>
      </c>
      <c r="W96" s="1">
        <f t="shared" si="104"/>
        <v>163.28601175343692</v>
      </c>
      <c r="X96" s="1">
        <f t="shared" si="105"/>
        <v>757.05332722048</v>
      </c>
      <c r="Y96" s="1">
        <f t="shared" si="106"/>
        <v>91.15880143518717</v>
      </c>
      <c r="Z96" s="1">
        <f t="shared" si="107"/>
        <v>45.579400717593586</v>
      </c>
      <c r="AA96" s="1">
        <f t="shared" si="108"/>
        <v>211.32267605429752</v>
      </c>
      <c r="AB96" s="1">
        <f t="shared" si="109"/>
        <v>2815.7687181905535</v>
      </c>
      <c r="AC96" s="1">
        <f t="shared" si="110"/>
        <v>1407.8843590952767</v>
      </c>
      <c r="AD96" s="1">
        <f t="shared" si="111"/>
        <v>6527.463846714465</v>
      </c>
      <c r="AE96" s="1">
        <f t="shared" si="112"/>
        <v>1666.614841175893</v>
      </c>
      <c r="AF96" s="1">
        <f t="shared" si="113"/>
        <v>833.3074205879465</v>
      </c>
      <c r="AG96" s="1">
        <f t="shared" si="114"/>
        <v>3863.516222725933</v>
      </c>
      <c r="AH96"/>
      <c r="AI96"/>
      <c r="AJ96"/>
      <c r="AK96"/>
      <c r="AL96"/>
      <c r="AM96"/>
      <c r="AN96"/>
      <c r="AP96" t="s">
        <v>95</v>
      </c>
      <c r="AQ96" s="6" t="s">
        <v>169</v>
      </c>
      <c r="AR96" s="1">
        <v>93006</v>
      </c>
      <c r="AS96" s="1">
        <v>10956.586710959999</v>
      </c>
      <c r="AT96" s="1">
        <v>5478.293355479999</v>
      </c>
      <c r="AU96" s="1">
        <v>25399.360102679995</v>
      </c>
      <c r="AV96" s="1">
        <v>1260.0074717604</v>
      </c>
      <c r="AW96" s="1">
        <v>876.5269368767999</v>
      </c>
      <c r="AX96" s="1">
        <v>3615.6736146167996</v>
      </c>
      <c r="AY96" s="1">
        <f t="shared" si="115"/>
        <v>230.5813673321532</v>
      </c>
      <c r="AZ96" s="1">
        <f t="shared" si="116"/>
        <v>134.78864408768348</v>
      </c>
      <c r="BA96" s="1">
        <f t="shared" si="117"/>
        <v>318.2945194653043</v>
      </c>
      <c r="BB96" s="1">
        <f t="shared" si="118"/>
        <v>73.08043336210321</v>
      </c>
      <c r="BC96" s="1">
        <f t="shared" si="119"/>
        <v>0</v>
      </c>
      <c r="BD96" s="1">
        <f t="shared" si="120"/>
        <v>175.03494594557338</v>
      </c>
      <c r="BE96" s="1">
        <f>AV96*0.18</f>
        <v>226.80134491687198</v>
      </c>
      <c r="BF96" s="1">
        <f>BE96*0.482</f>
        <v>109.3182482499323</v>
      </c>
      <c r="BG96" s="1">
        <f>BE96*2.046</f>
        <v>464.03555169992006</v>
      </c>
      <c r="BH96" s="1">
        <f>AV96*0.08</f>
        <v>100.800597740832</v>
      </c>
      <c r="BI96" s="1">
        <f>BH96*0.358</f>
        <v>36.08661399121785</v>
      </c>
      <c r="BJ96" s="1">
        <f>BH96*3.215</f>
        <v>324.0739217367749</v>
      </c>
      <c r="BL96" s="2">
        <v>0.99</v>
      </c>
      <c r="BM96" s="2">
        <v>0.99</v>
      </c>
      <c r="BO96" s="1">
        <f t="shared" si="121"/>
        <v>98.18154621003083</v>
      </c>
      <c r="BP96" s="1">
        <f t="shared" si="122"/>
        <v>57.39300465253564</v>
      </c>
      <c r="BQ96" s="1">
        <f t="shared" si="123"/>
        <v>135.52980638832656</v>
      </c>
      <c r="BR96" s="1">
        <f t="shared" si="124"/>
        <v>15.200730139317471</v>
      </c>
      <c r="BS96" s="1">
        <f t="shared" si="125"/>
        <v>0</v>
      </c>
      <c r="BT96" s="1">
        <f t="shared" si="126"/>
        <v>36.40726875667926</v>
      </c>
      <c r="BU96" s="1">
        <f t="shared" si="127"/>
        <v>226.80134491687198</v>
      </c>
      <c r="BV96" s="1">
        <f t="shared" si="128"/>
        <v>109.3182482499323</v>
      </c>
      <c r="BW96" s="1">
        <f t="shared" si="129"/>
        <v>464.03555169992006</v>
      </c>
      <c r="BX96" s="1">
        <f t="shared" si="130"/>
        <v>100.800597740832</v>
      </c>
      <c r="BY96" s="1">
        <f t="shared" si="131"/>
        <v>36.08661399121785</v>
      </c>
      <c r="BZ96" s="1">
        <f t="shared" si="132"/>
        <v>324.0739217367749</v>
      </c>
      <c r="CA96" s="1">
        <f t="shared" si="133"/>
        <v>1069.7279474154918</v>
      </c>
      <c r="CB96" s="1">
        <f t="shared" si="134"/>
        <v>799.1312974416521</v>
      </c>
      <c r="CC96" s="1">
        <f t="shared" si="135"/>
        <v>3294.2812243509275</v>
      </c>
      <c r="CD96" s="1">
        <f t="shared" si="86"/>
        <v>9763.414418136455</v>
      </c>
      <c r="CE96" s="1">
        <f t="shared" si="87"/>
        <v>4881.707209068228</v>
      </c>
      <c r="CF96" s="1">
        <f t="shared" si="88"/>
        <v>22633.369787498144</v>
      </c>
      <c r="CG96" t="s">
        <v>95</v>
      </c>
      <c r="CH96" s="6" t="s">
        <v>169</v>
      </c>
      <c r="CI96" s="1">
        <v>93006</v>
      </c>
      <c r="CJ96" s="102">
        <v>0</v>
      </c>
      <c r="CK96" s="1">
        <v>4.468803</v>
      </c>
      <c r="CL96" s="1">
        <f t="shared" si="136"/>
        <v>4.468803</v>
      </c>
      <c r="CM96" s="1">
        <v>0</v>
      </c>
      <c r="CN96" s="1">
        <v>5.040809784</v>
      </c>
      <c r="CO96" s="1">
        <f t="shared" si="137"/>
        <v>5.040809784</v>
      </c>
      <c r="CP96" s="1">
        <f t="shared" si="89"/>
        <v>0.8725887265215133</v>
      </c>
      <c r="CQ96" s="1">
        <f t="shared" si="90"/>
        <v>0.4162501428389047</v>
      </c>
      <c r="CR96" s="1">
        <f t="shared" si="91"/>
        <v>1.3243453185429994</v>
      </c>
      <c r="CS96" s="1">
        <f t="shared" si="92"/>
        <v>0.26804120495339595</v>
      </c>
      <c r="CT96" s="1">
        <f t="shared" si="93"/>
        <v>0.03244027009542481</v>
      </c>
      <c r="CU96" s="1">
        <f t="shared" si="94"/>
        <v>0.529641629798873</v>
      </c>
    </row>
    <row r="97" spans="1:99" ht="12.75">
      <c r="A97" t="s">
        <v>97</v>
      </c>
      <c r="B97" s="1">
        <v>63553</v>
      </c>
      <c r="C97" s="6" t="s">
        <v>96</v>
      </c>
      <c r="D97" s="107">
        <v>5.3</v>
      </c>
      <c r="E97" s="107">
        <v>9</v>
      </c>
      <c r="F97" s="107">
        <v>74.4</v>
      </c>
      <c r="G97" s="107">
        <v>0.3</v>
      </c>
      <c r="H97" s="107">
        <v>14.7</v>
      </c>
      <c r="I97" s="1">
        <f t="shared" si="95"/>
        <v>3368.3089999999997</v>
      </c>
      <c r="J97" s="1">
        <f t="shared" si="96"/>
        <v>5719.77</v>
      </c>
      <c r="K97" s="1">
        <f t="shared" si="97"/>
        <v>47283.432</v>
      </c>
      <c r="L97" s="1">
        <f t="shared" si="98"/>
        <v>190.659</v>
      </c>
      <c r="M97" s="1">
        <f t="shared" si="99"/>
        <v>9342.291</v>
      </c>
      <c r="N97" s="12">
        <f t="shared" si="138"/>
        <v>-0.13272000000000003</v>
      </c>
      <c r="O97" s="12">
        <f t="shared" si="139"/>
        <v>0.0007599999999999996</v>
      </c>
      <c r="P97" s="12">
        <f t="shared" si="140"/>
        <v>0.06549000000000005</v>
      </c>
      <c r="Q97" s="12">
        <f t="shared" si="141"/>
        <v>-0.4150400000000001</v>
      </c>
      <c r="R97" s="12">
        <f t="shared" si="142"/>
        <v>0.020987999999999996</v>
      </c>
      <c r="S97" s="1">
        <f t="shared" si="100"/>
        <v>7542.797973479999</v>
      </c>
      <c r="T97" s="2">
        <f t="shared" si="101"/>
        <v>0.11868515999999998</v>
      </c>
      <c r="U97" s="1">
        <f t="shared" si="102"/>
        <v>867.4217669502</v>
      </c>
      <c r="V97" s="1">
        <f t="shared" si="103"/>
        <v>527.9958581436</v>
      </c>
      <c r="W97" s="1">
        <f t="shared" si="104"/>
        <v>263.9979290718</v>
      </c>
      <c r="X97" s="1">
        <f t="shared" si="105"/>
        <v>1223.9903984238</v>
      </c>
      <c r="Y97" s="1">
        <f t="shared" si="106"/>
        <v>69.9971651938944</v>
      </c>
      <c r="Z97" s="1">
        <f t="shared" si="107"/>
        <v>34.9985825969472</v>
      </c>
      <c r="AA97" s="1">
        <f t="shared" si="108"/>
        <v>162.26615567675515</v>
      </c>
      <c r="AB97" s="1">
        <f t="shared" si="109"/>
        <v>2091.809766826449</v>
      </c>
      <c r="AC97" s="1">
        <f t="shared" si="110"/>
        <v>1045.9048834132245</v>
      </c>
      <c r="AD97" s="1">
        <f t="shared" si="111"/>
        <v>4849.195368552222</v>
      </c>
      <c r="AE97" s="1">
        <f t="shared" si="112"/>
        <v>1238.1134784926312</v>
      </c>
      <c r="AF97" s="1">
        <f t="shared" si="113"/>
        <v>619.0567392463156</v>
      </c>
      <c r="AG97" s="1">
        <f t="shared" si="114"/>
        <v>2870.172154687463</v>
      </c>
      <c r="AH97"/>
      <c r="AI97"/>
      <c r="AJ97"/>
      <c r="AK97"/>
      <c r="AL97"/>
      <c r="AM97"/>
      <c r="AN97"/>
      <c r="AP97" t="s">
        <v>97</v>
      </c>
      <c r="AQ97" s="6" t="s">
        <v>169</v>
      </c>
      <c r="AR97" s="1">
        <v>63553</v>
      </c>
      <c r="AS97" s="1">
        <v>7542.797973479999</v>
      </c>
      <c r="AT97" s="1">
        <v>3771.3989867399996</v>
      </c>
      <c r="AU97" s="1">
        <v>17485.577120339996</v>
      </c>
      <c r="AV97" s="1">
        <v>867.4217669502</v>
      </c>
      <c r="AW97" s="1">
        <v>603.4238378783999</v>
      </c>
      <c r="AX97" s="1">
        <v>2489.1233312484</v>
      </c>
      <c r="AY97" s="1">
        <f t="shared" si="115"/>
        <v>158.7381833518866</v>
      </c>
      <c r="AZ97" s="1">
        <f t="shared" si="116"/>
        <v>92.79199246017882</v>
      </c>
      <c r="BA97" s="1">
        <f t="shared" si="117"/>
        <v>219.12218829894425</v>
      </c>
      <c r="BB97" s="1">
        <f t="shared" si="118"/>
        <v>50.3104624831116</v>
      </c>
      <c r="BC97" s="1">
        <f t="shared" si="119"/>
        <v>0</v>
      </c>
      <c r="BD97" s="1">
        <f t="shared" si="120"/>
        <v>120.49858869330058</v>
      </c>
      <c r="BE97" s="1">
        <f aca="true" t="shared" si="143" ref="BE97:BE117">AV97*0.18</f>
        <v>156.135918051036</v>
      </c>
      <c r="BF97" s="1">
        <f aca="true" t="shared" si="144" ref="BF97:BF117">BE97*0.482</f>
        <v>75.25751250059935</v>
      </c>
      <c r="BG97" s="1">
        <f aca="true" t="shared" si="145" ref="BG97:BG117">BE97*2.046</f>
        <v>319.4540883324196</v>
      </c>
      <c r="BH97" s="1">
        <f aca="true" t="shared" si="146" ref="BH97:BH117">AV97*0.08</f>
        <v>69.393741356016</v>
      </c>
      <c r="BI97" s="1">
        <f aca="true" t="shared" si="147" ref="BI97:BI117">BH97*0.358</f>
        <v>24.842959405453726</v>
      </c>
      <c r="BJ97" s="1">
        <f aca="true" t="shared" si="148" ref="BJ97:BJ117">BH97*3.215</f>
        <v>223.1008784595914</v>
      </c>
      <c r="BL97" s="2">
        <v>0.96</v>
      </c>
      <c r="BM97" s="2">
        <v>0</v>
      </c>
      <c r="BO97" s="1">
        <f t="shared" si="121"/>
        <v>158.7381833518866</v>
      </c>
      <c r="BP97" s="1">
        <f t="shared" si="122"/>
        <v>92.79199246017882</v>
      </c>
      <c r="BQ97" s="1">
        <f t="shared" si="123"/>
        <v>219.12218829894425</v>
      </c>
      <c r="BR97" s="1">
        <f t="shared" si="124"/>
        <v>11.672027296081893</v>
      </c>
      <c r="BS97" s="1">
        <f t="shared" si="125"/>
        <v>0</v>
      </c>
      <c r="BT97" s="1">
        <f t="shared" si="126"/>
        <v>27.95567257684573</v>
      </c>
      <c r="BU97" s="1">
        <f t="shared" si="127"/>
        <v>156.135918051036</v>
      </c>
      <c r="BV97" s="1">
        <f t="shared" si="128"/>
        <v>75.25751250059935</v>
      </c>
      <c r="BW97" s="1">
        <f t="shared" si="129"/>
        <v>319.4540883324196</v>
      </c>
      <c r="BX97" s="1">
        <f t="shared" si="130"/>
        <v>69.393741356016</v>
      </c>
      <c r="BY97" s="1">
        <f t="shared" si="131"/>
        <v>24.842959405453726</v>
      </c>
      <c r="BZ97" s="1">
        <f t="shared" si="132"/>
        <v>223.1008784595914</v>
      </c>
      <c r="CA97" s="1">
        <f t="shared" si="133"/>
        <v>828.7833317631703</v>
      </c>
      <c r="CB97" s="1">
        <f t="shared" si="134"/>
        <v>603.4238378783999</v>
      </c>
      <c r="CC97" s="1">
        <f t="shared" si="135"/>
        <v>2396.5804151319453</v>
      </c>
      <c r="CD97" s="1">
        <f t="shared" si="86"/>
        <v>7253.154531298367</v>
      </c>
      <c r="CE97" s="1">
        <f t="shared" si="87"/>
        <v>3626.5772656491836</v>
      </c>
      <c r="CF97" s="1">
        <f t="shared" si="88"/>
        <v>16814.13095891894</v>
      </c>
      <c r="CG97" t="s">
        <v>97</v>
      </c>
      <c r="CH97" s="6" t="s">
        <v>169</v>
      </c>
      <c r="CI97" s="1">
        <v>63553</v>
      </c>
      <c r="CJ97" s="102">
        <v>0.0179582</v>
      </c>
      <c r="CK97" s="1">
        <v>1.645227</v>
      </c>
      <c r="CL97" s="1">
        <f t="shared" si="136"/>
        <v>1.6631852</v>
      </c>
      <c r="CM97" s="1">
        <v>0.0146930727272727</v>
      </c>
      <c r="CN97" s="1">
        <v>1.34989372859589</v>
      </c>
      <c r="CO97" s="1">
        <f t="shared" si="137"/>
        <v>1.3645868013231628</v>
      </c>
      <c r="CP97" s="1">
        <f t="shared" si="89"/>
        <v>0.44976780971611446</v>
      </c>
      <c r="CQ97" s="1">
        <f t="shared" si="90"/>
        <v>0.2381203968308919</v>
      </c>
      <c r="CR97" s="1">
        <f t="shared" si="91"/>
        <v>0.621705746682833</v>
      </c>
      <c r="CS97" s="1">
        <f t="shared" si="92"/>
        <v>0.08043972931433314</v>
      </c>
      <c r="CT97" s="1">
        <f t="shared" si="93"/>
        <v>0.009787856595524566</v>
      </c>
      <c r="CU97" s="1">
        <f t="shared" si="94"/>
        <v>0.15800618636352537</v>
      </c>
    </row>
    <row r="98" spans="1:99" ht="12.75">
      <c r="A98" t="s">
        <v>98</v>
      </c>
      <c r="B98" s="1">
        <v>6149331</v>
      </c>
      <c r="C98" s="6" t="s">
        <v>96</v>
      </c>
      <c r="D98" s="107">
        <v>5.3</v>
      </c>
      <c r="E98" s="113">
        <v>7</v>
      </c>
      <c r="F98" s="113">
        <v>77</v>
      </c>
      <c r="G98" s="107">
        <v>0.3</v>
      </c>
      <c r="H98" s="107">
        <v>14.7</v>
      </c>
      <c r="I98" s="1">
        <f t="shared" si="95"/>
        <v>325914.543</v>
      </c>
      <c r="J98" s="1">
        <f t="shared" si="96"/>
        <v>430453.17</v>
      </c>
      <c r="K98" s="1">
        <f t="shared" si="97"/>
        <v>4734984.87</v>
      </c>
      <c r="L98" s="1">
        <f t="shared" si="98"/>
        <v>18447.993000000002</v>
      </c>
      <c r="M98" s="1">
        <f t="shared" si="99"/>
        <v>903951.657</v>
      </c>
      <c r="N98" s="12">
        <f t="shared" si="138"/>
        <v>-0.13272000000000003</v>
      </c>
      <c r="O98" s="12">
        <f t="shared" si="139"/>
        <v>-0.0072399999999999964</v>
      </c>
      <c r="P98" s="12">
        <f t="shared" si="140"/>
        <v>0.07329000000000002</v>
      </c>
      <c r="Q98" s="12">
        <f t="shared" si="141"/>
        <v>-0.4150400000000001</v>
      </c>
      <c r="R98" s="12">
        <f t="shared" si="142"/>
        <v>0.020987999999999996</v>
      </c>
      <c r="S98" s="1">
        <f t="shared" si="100"/>
        <v>729563.7630639599</v>
      </c>
      <c r="T98" s="2">
        <f t="shared" si="101"/>
        <v>0.11864115999999998</v>
      </c>
      <c r="U98" s="1">
        <f t="shared" si="102"/>
        <v>83899.83275235539</v>
      </c>
      <c r="V98" s="1">
        <f t="shared" si="103"/>
        <v>51069.4634144772</v>
      </c>
      <c r="W98" s="1">
        <f t="shared" si="104"/>
        <v>25534.7317072386</v>
      </c>
      <c r="X98" s="1">
        <f t="shared" si="105"/>
        <v>118388.3015517426</v>
      </c>
      <c r="Y98" s="1">
        <f t="shared" si="106"/>
        <v>29182.550522558395</v>
      </c>
      <c r="Z98" s="1">
        <f t="shared" si="107"/>
        <v>14591.275261279197</v>
      </c>
      <c r="AA98" s="1">
        <f t="shared" si="108"/>
        <v>67650.45802956719</v>
      </c>
      <c r="AB98" s="1">
        <f t="shared" si="109"/>
        <v>210406.18926764603</v>
      </c>
      <c r="AC98" s="1">
        <f t="shared" si="110"/>
        <v>105203.09463382301</v>
      </c>
      <c r="AD98" s="1">
        <f t="shared" si="111"/>
        <v>487759.80239317945</v>
      </c>
      <c r="AE98" s="1">
        <f t="shared" si="112"/>
        <v>124536.53435501795</v>
      </c>
      <c r="AF98" s="1">
        <f t="shared" si="113"/>
        <v>62268.26717750898</v>
      </c>
      <c r="AG98" s="1">
        <f t="shared" si="114"/>
        <v>288698.32964117796</v>
      </c>
      <c r="AH98"/>
      <c r="AI98"/>
      <c r="AJ98"/>
      <c r="AK98"/>
      <c r="AL98"/>
      <c r="AM98"/>
      <c r="AN98"/>
      <c r="AP98" t="s">
        <v>98</v>
      </c>
      <c r="AQ98" s="6" t="s">
        <v>169</v>
      </c>
      <c r="AR98" s="1">
        <v>6149331</v>
      </c>
      <c r="AS98" s="1">
        <v>729563.7630639599</v>
      </c>
      <c r="AT98" s="1">
        <v>364781.88153197995</v>
      </c>
      <c r="AU98" s="1">
        <v>1691261.4507391797</v>
      </c>
      <c r="AV98" s="1">
        <v>83899.83275235539</v>
      </c>
      <c r="AW98" s="1">
        <v>58365.10104511679</v>
      </c>
      <c r="AX98" s="1">
        <v>240756.04181110678</v>
      </c>
      <c r="AY98" s="1">
        <f t="shared" si="115"/>
        <v>15353.669393681035</v>
      </c>
      <c r="AZ98" s="1">
        <f t="shared" si="116"/>
        <v>8975.140980770186</v>
      </c>
      <c r="BA98" s="1">
        <f t="shared" si="117"/>
        <v>21194.205231037304</v>
      </c>
      <c r="BB98" s="1">
        <f t="shared" si="118"/>
        <v>4866.1902996366125</v>
      </c>
      <c r="BC98" s="1">
        <f t="shared" si="119"/>
        <v>0</v>
      </c>
      <c r="BD98" s="1">
        <f t="shared" si="120"/>
        <v>11655.01238665965</v>
      </c>
      <c r="BE98" s="1">
        <f t="shared" si="143"/>
        <v>15101.96989542397</v>
      </c>
      <c r="BF98" s="1">
        <f t="shared" si="144"/>
        <v>7279.149489594353</v>
      </c>
      <c r="BG98" s="1">
        <f t="shared" si="145"/>
        <v>30898.63040603744</v>
      </c>
      <c r="BH98" s="1">
        <f t="shared" si="146"/>
        <v>6711.9866201884315</v>
      </c>
      <c r="BI98" s="1">
        <f t="shared" si="147"/>
        <v>2402.8912100274583</v>
      </c>
      <c r="BJ98" s="1">
        <f t="shared" si="148"/>
        <v>21579.036983905808</v>
      </c>
      <c r="BL98" s="2">
        <v>0</v>
      </c>
      <c r="BM98" s="2">
        <v>0</v>
      </c>
      <c r="BO98" s="1">
        <f t="shared" si="121"/>
        <v>15353.669393681035</v>
      </c>
      <c r="BP98" s="1">
        <f t="shared" si="122"/>
        <v>8975.140980770186</v>
      </c>
      <c r="BQ98" s="1">
        <f t="shared" si="123"/>
        <v>21194.205231037304</v>
      </c>
      <c r="BR98" s="1">
        <f t="shared" si="124"/>
        <v>4866.1902996366125</v>
      </c>
      <c r="BS98" s="1">
        <f t="shared" si="125"/>
        <v>0</v>
      </c>
      <c r="BT98" s="1">
        <f t="shared" si="126"/>
        <v>11655.01238665965</v>
      </c>
      <c r="BU98" s="1">
        <f t="shared" si="127"/>
        <v>15101.96989542397</v>
      </c>
      <c r="BV98" s="1">
        <f t="shared" si="128"/>
        <v>7279.149489594353</v>
      </c>
      <c r="BW98" s="1">
        <f t="shared" si="129"/>
        <v>30898.63040603744</v>
      </c>
      <c r="BX98" s="1">
        <f t="shared" si="130"/>
        <v>6711.9866201884315</v>
      </c>
      <c r="BY98" s="1">
        <f t="shared" si="131"/>
        <v>2402.8912100274583</v>
      </c>
      <c r="BZ98" s="1">
        <f t="shared" si="132"/>
        <v>21579.036983905808</v>
      </c>
      <c r="CA98" s="1">
        <f t="shared" si="133"/>
        <v>83899.83275235539</v>
      </c>
      <c r="CB98" s="1">
        <f t="shared" si="134"/>
        <v>58365.10104511679</v>
      </c>
      <c r="CC98" s="1">
        <f t="shared" si="135"/>
        <v>240756.04181110678</v>
      </c>
      <c r="CD98" s="1">
        <f t="shared" si="86"/>
        <v>729563.7630639599</v>
      </c>
      <c r="CE98" s="1">
        <f t="shared" si="87"/>
        <v>364781.88153197995</v>
      </c>
      <c r="CF98" s="1">
        <f t="shared" si="88"/>
        <v>1691261.4507391797</v>
      </c>
      <c r="CG98" t="s">
        <v>98</v>
      </c>
      <c r="CH98" s="6" t="s">
        <v>169</v>
      </c>
      <c r="CI98" s="1">
        <v>6149331</v>
      </c>
      <c r="CJ98" s="102">
        <v>1018.901</v>
      </c>
      <c r="CK98" s="1">
        <v>3394.187</v>
      </c>
      <c r="CL98" s="1">
        <f t="shared" si="136"/>
        <v>4413.088</v>
      </c>
      <c r="CM98" s="1">
        <v>993.103135261351</v>
      </c>
      <c r="CN98" s="1">
        <v>3174.63200729284</v>
      </c>
      <c r="CO98" s="1">
        <f t="shared" si="137"/>
        <v>4167.735142554191</v>
      </c>
      <c r="CP98" s="1">
        <f t="shared" si="89"/>
        <v>1373.6855029858614</v>
      </c>
      <c r="CQ98" s="1">
        <f t="shared" si="90"/>
        <v>727.2697823757063</v>
      </c>
      <c r="CR98" s="1">
        <f t="shared" si="91"/>
        <v>1898.8201309476894</v>
      </c>
      <c r="CS98" s="1">
        <f t="shared" si="92"/>
        <v>886.060491307021</v>
      </c>
      <c r="CT98" s="1">
        <f t="shared" si="93"/>
        <v>125.86560130513658</v>
      </c>
      <c r="CU98" s="1">
        <f t="shared" si="94"/>
        <v>1503.7188394335521</v>
      </c>
    </row>
    <row r="99" spans="1:99" ht="12.75">
      <c r="A99" t="s">
        <v>99</v>
      </c>
      <c r="B99" s="1">
        <v>816013</v>
      </c>
      <c r="C99" s="6" t="s">
        <v>96</v>
      </c>
      <c r="D99" s="117">
        <v>1.8</v>
      </c>
      <c r="E99" s="29">
        <v>10.8</v>
      </c>
      <c r="F99" s="29">
        <v>71.8</v>
      </c>
      <c r="G99" s="106">
        <v>0.1</v>
      </c>
      <c r="H99" s="115">
        <v>14.7</v>
      </c>
      <c r="I99" s="1">
        <f t="shared" si="95"/>
        <v>14688.234000000002</v>
      </c>
      <c r="J99" s="1">
        <f t="shared" si="96"/>
        <v>88129.40400000001</v>
      </c>
      <c r="K99" s="1">
        <f t="shared" si="97"/>
        <v>585897.334</v>
      </c>
      <c r="L99" s="1">
        <f t="shared" si="98"/>
        <v>816.013</v>
      </c>
      <c r="M99" s="1">
        <f t="shared" si="99"/>
        <v>119953.911</v>
      </c>
      <c r="N99" s="12">
        <f t="shared" si="138"/>
        <v>-0.16072000000000003</v>
      </c>
      <c r="O99" s="12">
        <f t="shared" si="139"/>
        <v>0.007960000000000007</v>
      </c>
      <c r="P99" s="12">
        <f t="shared" si="140"/>
        <v>0.057690000000000005</v>
      </c>
      <c r="Q99" s="12">
        <f t="shared" si="141"/>
        <v>-0.41664000000000007</v>
      </c>
      <c r="R99" s="12">
        <f t="shared" si="142"/>
        <v>0.020987999999999996</v>
      </c>
      <c r="S99" s="1">
        <f t="shared" si="100"/>
        <v>91427.04309507998</v>
      </c>
      <c r="T99" s="2">
        <f t="shared" si="101"/>
        <v>0.11204115999999997</v>
      </c>
      <c r="U99" s="1">
        <f t="shared" si="102"/>
        <v>10514.109955934198</v>
      </c>
      <c r="V99" s="1">
        <f t="shared" si="103"/>
        <v>6399.893016655599</v>
      </c>
      <c r="W99" s="1">
        <f t="shared" si="104"/>
        <v>3199.9465083277996</v>
      </c>
      <c r="X99" s="1">
        <f t="shared" si="105"/>
        <v>14836.1156295198</v>
      </c>
      <c r="Y99" s="1">
        <f t="shared" si="106"/>
        <v>789.929652341491</v>
      </c>
      <c r="Z99" s="1">
        <f t="shared" si="107"/>
        <v>394.9648261707455</v>
      </c>
      <c r="AA99" s="1">
        <f t="shared" si="108"/>
        <v>1831.2005577007294</v>
      </c>
      <c r="AB99" s="1">
        <f t="shared" si="109"/>
        <v>25333.950906859118</v>
      </c>
      <c r="AC99" s="1">
        <f t="shared" si="110"/>
        <v>12666.975453429559</v>
      </c>
      <c r="AD99" s="1">
        <f t="shared" si="111"/>
        <v>58728.704374991605</v>
      </c>
      <c r="AE99" s="1">
        <f t="shared" si="112"/>
        <v>14994.817683082008</v>
      </c>
      <c r="AF99" s="1">
        <f t="shared" si="113"/>
        <v>7497.408841541004</v>
      </c>
      <c r="AG99" s="1">
        <f t="shared" si="114"/>
        <v>34760.713719871936</v>
      </c>
      <c r="AH99"/>
      <c r="AI99"/>
      <c r="AJ99"/>
      <c r="AK99"/>
      <c r="AL99"/>
      <c r="AM99"/>
      <c r="AN99"/>
      <c r="AP99" t="s">
        <v>99</v>
      </c>
      <c r="AQ99" s="6" t="s">
        <v>169</v>
      </c>
      <c r="AR99" s="1">
        <v>816013</v>
      </c>
      <c r="AS99" s="1">
        <v>91427.04309507998</v>
      </c>
      <c r="AT99" s="1">
        <v>45713.52154753999</v>
      </c>
      <c r="AU99" s="1">
        <v>211944.50899313999</v>
      </c>
      <c r="AV99" s="1">
        <v>10514.109955934198</v>
      </c>
      <c r="AW99" s="1">
        <v>7314.163447606398</v>
      </c>
      <c r="AX99" s="1">
        <v>30170.924221376394</v>
      </c>
      <c r="AY99" s="1">
        <f t="shared" si="115"/>
        <v>1924.0821219359582</v>
      </c>
      <c r="AZ99" s="1">
        <f t="shared" si="116"/>
        <v>1124.7414451988836</v>
      </c>
      <c r="BA99" s="1">
        <f t="shared" si="117"/>
        <v>2656.002961120397</v>
      </c>
      <c r="BB99" s="1">
        <f t="shared" si="118"/>
        <v>609.8183774441835</v>
      </c>
      <c r="BC99" s="1">
        <f t="shared" si="119"/>
        <v>0</v>
      </c>
      <c r="BD99" s="1">
        <f t="shared" si="120"/>
        <v>1460.5759958165638</v>
      </c>
      <c r="BE99" s="1">
        <f t="shared" si="143"/>
        <v>1892.5397920681555</v>
      </c>
      <c r="BF99" s="1">
        <f t="shared" si="144"/>
        <v>912.2041797768509</v>
      </c>
      <c r="BG99" s="1">
        <f t="shared" si="145"/>
        <v>3872.136414571446</v>
      </c>
      <c r="BH99" s="1">
        <f t="shared" si="146"/>
        <v>841.1287964747359</v>
      </c>
      <c r="BI99" s="1">
        <f t="shared" si="147"/>
        <v>301.12410913795543</v>
      </c>
      <c r="BJ99" s="1">
        <f t="shared" si="148"/>
        <v>2704.2290806662754</v>
      </c>
      <c r="BL99" s="2">
        <v>0.98</v>
      </c>
      <c r="BM99" s="2">
        <v>0</v>
      </c>
      <c r="BO99" s="1">
        <f t="shared" si="121"/>
        <v>1924.0821219359582</v>
      </c>
      <c r="BP99" s="1">
        <f t="shared" si="122"/>
        <v>1124.7414451988836</v>
      </c>
      <c r="BQ99" s="1">
        <f t="shared" si="123"/>
        <v>2656.002961120397</v>
      </c>
      <c r="BR99" s="1">
        <f t="shared" si="124"/>
        <v>131.72076952794362</v>
      </c>
      <c r="BS99" s="1">
        <f t="shared" si="125"/>
        <v>0</v>
      </c>
      <c r="BT99" s="1">
        <f t="shared" si="126"/>
        <v>315.4844150963777</v>
      </c>
      <c r="BU99" s="1">
        <f t="shared" si="127"/>
        <v>1892.5397920681555</v>
      </c>
      <c r="BV99" s="1">
        <f t="shared" si="128"/>
        <v>912.2041797768509</v>
      </c>
      <c r="BW99" s="1">
        <f t="shared" si="129"/>
        <v>3872.136414571446</v>
      </c>
      <c r="BX99" s="1">
        <f t="shared" si="130"/>
        <v>841.1287964747359</v>
      </c>
      <c r="BY99" s="1">
        <f t="shared" si="131"/>
        <v>301.12410913795543</v>
      </c>
      <c r="BZ99" s="1">
        <f t="shared" si="132"/>
        <v>2704.2290806662754</v>
      </c>
      <c r="CA99" s="1">
        <f t="shared" si="133"/>
        <v>10036.012348017959</v>
      </c>
      <c r="CB99" s="1">
        <f t="shared" si="134"/>
        <v>7314.163447606398</v>
      </c>
      <c r="CC99" s="1">
        <f t="shared" si="135"/>
        <v>29025.83264065621</v>
      </c>
      <c r="CD99" s="1">
        <f t="shared" si="86"/>
        <v>87843.10300575284</v>
      </c>
      <c r="CE99" s="1">
        <f t="shared" si="87"/>
        <v>43921.55150287642</v>
      </c>
      <c r="CF99" s="1">
        <f t="shared" si="88"/>
        <v>203636.2842406089</v>
      </c>
      <c r="CG99" t="s">
        <v>99</v>
      </c>
      <c r="CH99" s="6" t="s">
        <v>169</v>
      </c>
      <c r="CI99" s="1">
        <v>816013</v>
      </c>
      <c r="CJ99" s="102">
        <v>4.287878</v>
      </c>
      <c r="CK99" s="1">
        <v>279.4915</v>
      </c>
      <c r="CL99" s="1">
        <f t="shared" si="136"/>
        <v>283.77937799999995</v>
      </c>
      <c r="CM99" s="1">
        <v>4.05340163341772</v>
      </c>
      <c r="CN99" s="1">
        <v>264.154542177553</v>
      </c>
      <c r="CO99" s="1">
        <f t="shared" si="137"/>
        <v>268.20794381097073</v>
      </c>
      <c r="CP99" s="1">
        <f t="shared" si="89"/>
        <v>88.40133828009596</v>
      </c>
      <c r="CQ99" s="1">
        <f t="shared" si="90"/>
        <v>46.80228619501439</v>
      </c>
      <c r="CR99" s="1">
        <f t="shared" si="91"/>
        <v>122.19553920027826</v>
      </c>
      <c r="CS99" s="1">
        <f t="shared" si="92"/>
        <v>14.780053598166512</v>
      </c>
      <c r="CT99" s="1">
        <f t="shared" si="93"/>
        <v>1.7920029546237601</v>
      </c>
      <c r="CU99" s="1">
        <f t="shared" si="94"/>
        <v>29.146897260077374</v>
      </c>
    </row>
    <row r="100" spans="1:99" ht="12.75">
      <c r="A100" t="s">
        <v>100</v>
      </c>
      <c r="B100" s="1">
        <v>281414</v>
      </c>
      <c r="C100" s="6" t="s">
        <v>96</v>
      </c>
      <c r="D100" s="107">
        <v>5.3</v>
      </c>
      <c r="E100" s="113">
        <v>7</v>
      </c>
      <c r="F100" s="107">
        <v>74.4</v>
      </c>
      <c r="G100" s="107">
        <v>0.3</v>
      </c>
      <c r="H100" s="107">
        <v>14.7</v>
      </c>
      <c r="I100" s="1">
        <f t="shared" si="95"/>
        <v>14914.942</v>
      </c>
      <c r="J100" s="1">
        <f t="shared" si="96"/>
        <v>19698.98</v>
      </c>
      <c r="K100" s="1">
        <f t="shared" si="97"/>
        <v>209372.016</v>
      </c>
      <c r="L100" s="1">
        <f t="shared" si="98"/>
        <v>844.242</v>
      </c>
      <c r="M100" s="1">
        <f t="shared" si="99"/>
        <v>41367.858</v>
      </c>
      <c r="N100" s="12">
        <f t="shared" si="138"/>
        <v>-0.13272000000000003</v>
      </c>
      <c r="O100" s="12">
        <f t="shared" si="139"/>
        <v>-0.0072399999999999964</v>
      </c>
      <c r="P100" s="12">
        <f t="shared" si="140"/>
        <v>0.06549000000000005</v>
      </c>
      <c r="Q100" s="12">
        <f t="shared" si="141"/>
        <v>-0.4150400000000001</v>
      </c>
      <c r="R100" s="12">
        <f t="shared" si="142"/>
        <v>0.020987999999999996</v>
      </c>
      <c r="S100" s="1">
        <f t="shared" si="100"/>
        <v>32904.37697623999</v>
      </c>
      <c r="T100" s="2">
        <f t="shared" si="101"/>
        <v>0.11692515999999996</v>
      </c>
      <c r="U100" s="1">
        <f t="shared" si="102"/>
        <v>3784.003352267599</v>
      </c>
      <c r="V100" s="1">
        <f t="shared" si="103"/>
        <v>994.1070372061627</v>
      </c>
      <c r="W100" s="1">
        <f t="shared" si="104"/>
        <v>497.05351860308133</v>
      </c>
      <c r="X100" s="1">
        <f t="shared" si="105"/>
        <v>2304.520858977923</v>
      </c>
      <c r="Y100" s="1">
        <f t="shared" si="106"/>
        <v>284.2938170747136</v>
      </c>
      <c r="Z100" s="1">
        <f t="shared" si="107"/>
        <v>142.1469085373568</v>
      </c>
      <c r="AA100" s="1">
        <f t="shared" si="108"/>
        <v>659.0447577641085</v>
      </c>
      <c r="AB100" s="1">
        <f t="shared" si="109"/>
        <v>8466.64103385726</v>
      </c>
      <c r="AC100" s="1">
        <f t="shared" si="110"/>
        <v>4233.32051692863</v>
      </c>
      <c r="AD100" s="1">
        <f t="shared" si="111"/>
        <v>19627.21330576001</v>
      </c>
      <c r="AE100" s="1">
        <f t="shared" si="112"/>
        <v>5011.288573090965</v>
      </c>
      <c r="AF100" s="1">
        <f t="shared" si="113"/>
        <v>2505.6442865454824</v>
      </c>
      <c r="AG100" s="1">
        <f t="shared" si="114"/>
        <v>11617.078055801781</v>
      </c>
      <c r="AH100"/>
      <c r="AI100"/>
      <c r="AJ100"/>
      <c r="AK100"/>
      <c r="AL100"/>
      <c r="AM100"/>
      <c r="AN100"/>
      <c r="AP100" t="s">
        <v>100</v>
      </c>
      <c r="AQ100" s="6" t="s">
        <v>169</v>
      </c>
      <c r="AR100" s="1">
        <v>281414</v>
      </c>
      <c r="AS100" s="1">
        <v>32904.37697623999</v>
      </c>
      <c r="AT100" s="1">
        <v>16452.188488119995</v>
      </c>
      <c r="AU100" s="1">
        <v>76278.32844491999</v>
      </c>
      <c r="AV100" s="1">
        <v>3784.003352267599</v>
      </c>
      <c r="AW100" s="1">
        <v>2632.3501580991992</v>
      </c>
      <c r="AX100" s="1">
        <v>10858.444402159197</v>
      </c>
      <c r="AY100" s="1">
        <f t="shared" si="115"/>
        <v>692.4726134649706</v>
      </c>
      <c r="AZ100" s="1">
        <f t="shared" si="116"/>
        <v>404.7917909270832</v>
      </c>
      <c r="BA100" s="1">
        <f t="shared" si="117"/>
        <v>955.8891956270454</v>
      </c>
      <c r="BB100" s="1">
        <f t="shared" si="118"/>
        <v>219.47219443152076</v>
      </c>
      <c r="BC100" s="1">
        <f t="shared" si="119"/>
        <v>0</v>
      </c>
      <c r="BD100" s="1">
        <f t="shared" si="120"/>
        <v>525.6578528829353</v>
      </c>
      <c r="BE100" s="1">
        <f t="shared" si="143"/>
        <v>681.1206034081678</v>
      </c>
      <c r="BF100" s="1">
        <f t="shared" si="144"/>
        <v>328.30013084273685</v>
      </c>
      <c r="BG100" s="1">
        <f t="shared" si="145"/>
        <v>1393.572754573111</v>
      </c>
      <c r="BH100" s="1">
        <f t="shared" si="146"/>
        <v>302.7202681814079</v>
      </c>
      <c r="BI100" s="1">
        <f t="shared" si="147"/>
        <v>108.37385600894403</v>
      </c>
      <c r="BJ100" s="1">
        <f t="shared" si="148"/>
        <v>973.2456622032264</v>
      </c>
      <c r="BL100" s="2">
        <v>0.98</v>
      </c>
      <c r="BM100" s="2">
        <v>0.98</v>
      </c>
      <c r="BO100" s="1">
        <f t="shared" si="121"/>
        <v>298.8711799714813</v>
      </c>
      <c r="BP100" s="1">
        <f t="shared" si="122"/>
        <v>174.70813696412912</v>
      </c>
      <c r="BQ100" s="1">
        <f t="shared" si="123"/>
        <v>412.56177683263286</v>
      </c>
      <c r="BR100" s="1">
        <f t="shared" si="124"/>
        <v>47.40599399720847</v>
      </c>
      <c r="BS100" s="1">
        <f t="shared" si="125"/>
        <v>0</v>
      </c>
      <c r="BT100" s="1">
        <f t="shared" si="126"/>
        <v>113.54209622271406</v>
      </c>
      <c r="BU100" s="1">
        <f t="shared" si="127"/>
        <v>681.1206034081678</v>
      </c>
      <c r="BV100" s="1">
        <f t="shared" si="128"/>
        <v>328.30013084273685</v>
      </c>
      <c r="BW100" s="1">
        <f t="shared" si="129"/>
        <v>1393.572754573111</v>
      </c>
      <c r="BX100" s="1">
        <f t="shared" si="130"/>
        <v>302.7202681814079</v>
      </c>
      <c r="BY100" s="1">
        <f t="shared" si="131"/>
        <v>108.37385600894403</v>
      </c>
      <c r="BZ100" s="1">
        <f t="shared" si="132"/>
        <v>973.2456622032264</v>
      </c>
      <c r="CA100" s="1">
        <f t="shared" si="133"/>
        <v>3218.3357183397975</v>
      </c>
      <c r="CB100" s="1">
        <f t="shared" si="134"/>
        <v>2402.266504136245</v>
      </c>
      <c r="CC100" s="1">
        <f t="shared" si="135"/>
        <v>9903.001226704562</v>
      </c>
      <c r="CD100" s="1">
        <f t="shared" si="86"/>
        <v>29357.285138201318</v>
      </c>
      <c r="CE100" s="1">
        <f t="shared" si="87"/>
        <v>14678.642569100659</v>
      </c>
      <c r="CF100" s="1">
        <f t="shared" si="88"/>
        <v>68055.5246385576</v>
      </c>
      <c r="CG100" t="s">
        <v>100</v>
      </c>
      <c r="CH100" s="6" t="s">
        <v>169</v>
      </c>
      <c r="CI100" s="1">
        <v>281414</v>
      </c>
      <c r="CJ100" s="102">
        <v>0.3057077</v>
      </c>
      <c r="CK100" s="1">
        <v>39.00366</v>
      </c>
      <c r="CL100" s="1">
        <f t="shared" si="136"/>
        <v>39.3093677</v>
      </c>
      <c r="CM100" s="1">
        <v>0.302335923897059</v>
      </c>
      <c r="CN100" s="1">
        <v>37.3462806798867</v>
      </c>
      <c r="CO100" s="1">
        <f t="shared" si="137"/>
        <v>37.648616603783765</v>
      </c>
      <c r="CP100" s="1">
        <f t="shared" si="89"/>
        <v>6.590392154028538</v>
      </c>
      <c r="CQ100" s="1">
        <f t="shared" si="90"/>
        <v>3.1476806655808613</v>
      </c>
      <c r="CR100" s="1">
        <f t="shared" si="91"/>
        <v>9.990202806042989</v>
      </c>
      <c r="CS100" s="1">
        <f t="shared" si="92"/>
        <v>2.074690866326178</v>
      </c>
      <c r="CT100" s="1">
        <f t="shared" si="93"/>
        <v>0.2515452422208161</v>
      </c>
      <c r="CU100" s="1">
        <f t="shared" si="94"/>
        <v>4.091379041733077</v>
      </c>
    </row>
    <row r="101" spans="1:99" ht="12.75">
      <c r="A101" t="s">
        <v>101</v>
      </c>
      <c r="B101" s="1">
        <v>321684</v>
      </c>
      <c r="C101" s="6" t="s">
        <v>96</v>
      </c>
      <c r="D101" s="113">
        <v>4.2</v>
      </c>
      <c r="E101" s="113">
        <v>6</v>
      </c>
      <c r="F101" s="107">
        <v>74.4</v>
      </c>
      <c r="G101" s="107">
        <v>0.3</v>
      </c>
      <c r="H101" s="107">
        <v>14.7</v>
      </c>
      <c r="I101" s="1">
        <f t="shared" si="95"/>
        <v>13510.728000000001</v>
      </c>
      <c r="J101" s="1">
        <f t="shared" si="96"/>
        <v>19301.04</v>
      </c>
      <c r="K101" s="1">
        <f t="shared" si="97"/>
        <v>239332.896</v>
      </c>
      <c r="L101" s="1">
        <f t="shared" si="98"/>
        <v>965.052</v>
      </c>
      <c r="M101" s="1">
        <f t="shared" si="99"/>
        <v>47287.547999999995</v>
      </c>
      <c r="N101" s="12">
        <f t="shared" si="138"/>
        <v>-0.14152</v>
      </c>
      <c r="O101" s="12">
        <f t="shared" si="139"/>
        <v>-0.01124</v>
      </c>
      <c r="P101" s="12">
        <f t="shared" si="140"/>
        <v>0.06549000000000005</v>
      </c>
      <c r="Q101" s="12">
        <f t="shared" si="141"/>
        <v>-0.4150400000000001</v>
      </c>
      <c r="R101" s="12">
        <f t="shared" si="142"/>
        <v>0.020987999999999996</v>
      </c>
      <c r="S101" s="1">
        <f t="shared" si="100"/>
        <v>36707.09102544</v>
      </c>
      <c r="T101" s="2">
        <f t="shared" si="101"/>
        <v>0.11410916</v>
      </c>
      <c r="U101" s="1">
        <f t="shared" si="102"/>
        <v>4221.3154679256</v>
      </c>
      <c r="V101" s="1">
        <f t="shared" si="103"/>
        <v>2569.4963717808005</v>
      </c>
      <c r="W101" s="1">
        <f t="shared" si="104"/>
        <v>1284.7481858904002</v>
      </c>
      <c r="X101" s="1">
        <f t="shared" si="105"/>
        <v>5956.5597709464</v>
      </c>
      <c r="Y101" s="1">
        <f t="shared" si="106"/>
        <v>516.8358416381951</v>
      </c>
      <c r="Z101" s="1">
        <f t="shared" si="107"/>
        <v>258.41792081909756</v>
      </c>
      <c r="AA101" s="1">
        <f t="shared" si="108"/>
        <v>1198.1194510703613</v>
      </c>
      <c r="AB101" s="1">
        <f t="shared" si="109"/>
        <v>10243.32812006062</v>
      </c>
      <c r="AC101" s="1">
        <f t="shared" si="110"/>
        <v>5121.66406003031</v>
      </c>
      <c r="AD101" s="1">
        <f t="shared" si="111"/>
        <v>23745.897005595074</v>
      </c>
      <c r="AE101" s="1">
        <f t="shared" si="112"/>
        <v>6062.885263850027</v>
      </c>
      <c r="AF101" s="1">
        <f t="shared" si="113"/>
        <v>3031.4426319250133</v>
      </c>
      <c r="AG101" s="1">
        <f t="shared" si="114"/>
        <v>14054.870384379607</v>
      </c>
      <c r="AH101"/>
      <c r="AI101"/>
      <c r="AJ101"/>
      <c r="AK101"/>
      <c r="AL101"/>
      <c r="AM101"/>
      <c r="AN101"/>
      <c r="AP101" t="s">
        <v>101</v>
      </c>
      <c r="AQ101" s="6" t="s">
        <v>169</v>
      </c>
      <c r="AR101" s="1">
        <v>321684</v>
      </c>
      <c r="AS101" s="1">
        <v>36707.09102544</v>
      </c>
      <c r="AT101" s="1">
        <v>18353.54551272</v>
      </c>
      <c r="AU101" s="1">
        <v>85093.71101351999</v>
      </c>
      <c r="AV101" s="1">
        <v>4221.3154679256</v>
      </c>
      <c r="AW101" s="1">
        <v>2936.5672820352</v>
      </c>
      <c r="AX101" s="1">
        <v>12113.340038395201</v>
      </c>
      <c r="AY101" s="1">
        <f t="shared" si="115"/>
        <v>772.5007306303849</v>
      </c>
      <c r="AZ101" s="1">
        <f t="shared" si="116"/>
        <v>451.57302709729777</v>
      </c>
      <c r="BA101" s="1">
        <f t="shared" si="117"/>
        <v>1066.3600085621833</v>
      </c>
      <c r="BB101" s="1">
        <f t="shared" si="118"/>
        <v>244.83629713968483</v>
      </c>
      <c r="BC101" s="1">
        <f t="shared" si="119"/>
        <v>0</v>
      </c>
      <c r="BD101" s="1">
        <f t="shared" si="120"/>
        <v>586.4074152792591</v>
      </c>
      <c r="BE101" s="1">
        <f t="shared" si="143"/>
        <v>759.8367842266081</v>
      </c>
      <c r="BF101" s="1">
        <f t="shared" si="144"/>
        <v>366.2413299972251</v>
      </c>
      <c r="BG101" s="1">
        <f t="shared" si="145"/>
        <v>1554.62606052764</v>
      </c>
      <c r="BH101" s="1">
        <f t="shared" si="146"/>
        <v>337.70523743404806</v>
      </c>
      <c r="BI101" s="1">
        <f t="shared" si="147"/>
        <v>120.8984750013892</v>
      </c>
      <c r="BJ101" s="1">
        <f t="shared" si="148"/>
        <v>1085.7223383504645</v>
      </c>
      <c r="BL101" s="2">
        <v>0.81</v>
      </c>
      <c r="BM101" s="2">
        <v>0</v>
      </c>
      <c r="BO101" s="1">
        <f t="shared" si="121"/>
        <v>772.5007306303849</v>
      </c>
      <c r="BP101" s="1">
        <f t="shared" si="122"/>
        <v>451.57302709729777</v>
      </c>
      <c r="BQ101" s="1">
        <f t="shared" si="123"/>
        <v>1066.3600085621833</v>
      </c>
      <c r="BR101" s="1">
        <f t="shared" si="124"/>
        <v>86.18237659316904</v>
      </c>
      <c r="BS101" s="1">
        <f t="shared" si="125"/>
        <v>0</v>
      </c>
      <c r="BT101" s="1">
        <f t="shared" si="126"/>
        <v>206.41541017829917</v>
      </c>
      <c r="BU101" s="1">
        <f t="shared" si="127"/>
        <v>759.8367842266081</v>
      </c>
      <c r="BV101" s="1">
        <f t="shared" si="128"/>
        <v>366.2413299972251</v>
      </c>
      <c r="BW101" s="1">
        <f t="shared" si="129"/>
        <v>1554.62606052764</v>
      </c>
      <c r="BX101" s="1">
        <f t="shared" si="130"/>
        <v>337.70523743404806</v>
      </c>
      <c r="BY101" s="1">
        <f t="shared" si="131"/>
        <v>120.8984750013892</v>
      </c>
      <c r="BZ101" s="1">
        <f t="shared" si="132"/>
        <v>1085.7223383504645</v>
      </c>
      <c r="CA101" s="1">
        <f t="shared" si="133"/>
        <v>4062.6615473790844</v>
      </c>
      <c r="CB101" s="1">
        <f t="shared" si="134"/>
        <v>2936.5672820352</v>
      </c>
      <c r="CC101" s="1">
        <f t="shared" si="135"/>
        <v>11733.348033294242</v>
      </c>
      <c r="CD101" s="1">
        <f t="shared" si="86"/>
        <v>35517.78127621574</v>
      </c>
      <c r="CE101" s="1">
        <f t="shared" si="87"/>
        <v>17758.89063810787</v>
      </c>
      <c r="CF101" s="1">
        <f t="shared" si="88"/>
        <v>82336.67477668195</v>
      </c>
      <c r="CG101" t="s">
        <v>101</v>
      </c>
      <c r="CH101" s="6" t="s">
        <v>169</v>
      </c>
      <c r="CI101" s="1">
        <v>321684</v>
      </c>
      <c r="CJ101" s="102">
        <v>5.522321</v>
      </c>
      <c r="CK101" s="1">
        <v>116.7645</v>
      </c>
      <c r="CL101" s="1">
        <f t="shared" si="136"/>
        <v>122.286821</v>
      </c>
      <c r="CM101" s="1">
        <v>2.4455993</v>
      </c>
      <c r="CN101" s="1">
        <v>46.4293832376215</v>
      </c>
      <c r="CO101" s="1">
        <f t="shared" si="137"/>
        <v>48.8749825376215</v>
      </c>
      <c r="CP101" s="1">
        <f t="shared" si="89"/>
        <v>16.109194244400047</v>
      </c>
      <c r="CQ101" s="1">
        <f t="shared" si="90"/>
        <v>8.52868445281495</v>
      </c>
      <c r="CR101" s="1">
        <f t="shared" si="91"/>
        <v>22.267442044140356</v>
      </c>
      <c r="CS101" s="1">
        <f t="shared" si="92"/>
        <v>4.2419621620636825</v>
      </c>
      <c r="CT101" s="1">
        <f t="shared" si="93"/>
        <v>0.5299311551007919</v>
      </c>
      <c r="CU101" s="1">
        <f t="shared" si="94"/>
        <v>8.101263404109297</v>
      </c>
    </row>
    <row r="102" spans="1:99" ht="12.75">
      <c r="A102" t="s">
        <v>102</v>
      </c>
      <c r="B102" s="1">
        <v>715540</v>
      </c>
      <c r="C102" s="6" t="s">
        <v>96</v>
      </c>
      <c r="D102" s="113">
        <v>5.6</v>
      </c>
      <c r="E102" s="113">
        <v>7</v>
      </c>
      <c r="F102" s="107">
        <v>74.4</v>
      </c>
      <c r="G102" s="107">
        <v>0.3</v>
      </c>
      <c r="H102" s="107">
        <v>14.7</v>
      </c>
      <c r="I102" s="1">
        <f t="shared" si="95"/>
        <v>40070.24</v>
      </c>
      <c r="J102" s="1">
        <f t="shared" si="96"/>
        <v>50087.8</v>
      </c>
      <c r="K102" s="1">
        <f t="shared" si="97"/>
        <v>532361.7600000001</v>
      </c>
      <c r="L102" s="1">
        <f t="shared" si="98"/>
        <v>2146.62</v>
      </c>
      <c r="M102" s="1">
        <f t="shared" si="99"/>
        <v>105184.38</v>
      </c>
      <c r="N102" s="12">
        <f t="shared" si="138"/>
        <v>-0.13032000000000002</v>
      </c>
      <c r="O102" s="12">
        <f t="shared" si="139"/>
        <v>-0.0072399999999999964</v>
      </c>
      <c r="P102" s="12">
        <f t="shared" si="140"/>
        <v>0.06549000000000005</v>
      </c>
      <c r="Q102" s="12">
        <f t="shared" si="141"/>
        <v>-0.4150400000000001</v>
      </c>
      <c r="R102" s="12">
        <f t="shared" si="142"/>
        <v>0.020987999999999996</v>
      </c>
      <c r="S102" s="1">
        <f t="shared" si="100"/>
        <v>84042.43410639999</v>
      </c>
      <c r="T102" s="2">
        <f t="shared" si="101"/>
        <v>0.11745315999999999</v>
      </c>
      <c r="U102" s="1">
        <f t="shared" si="102"/>
        <v>9664.879922236</v>
      </c>
      <c r="V102" s="1">
        <f t="shared" si="103"/>
        <v>5882.970387448</v>
      </c>
      <c r="W102" s="1">
        <f t="shared" si="104"/>
        <v>2941.485193724</v>
      </c>
      <c r="X102" s="1">
        <f t="shared" si="105"/>
        <v>13637.794989084</v>
      </c>
      <c r="Y102" s="1">
        <f t="shared" si="106"/>
        <v>726.1266306792959</v>
      </c>
      <c r="Z102" s="1">
        <f t="shared" si="107"/>
        <v>363.06331533964794</v>
      </c>
      <c r="AA102" s="1">
        <f t="shared" si="108"/>
        <v>1683.2935529383676</v>
      </c>
      <c r="AB102" s="1">
        <f t="shared" si="109"/>
        <v>23287.714746831356</v>
      </c>
      <c r="AC102" s="1">
        <f t="shared" si="110"/>
        <v>11643.857373415678</v>
      </c>
      <c r="AD102" s="1">
        <f t="shared" si="111"/>
        <v>53985.156913109044</v>
      </c>
      <c r="AE102" s="1">
        <f t="shared" si="112"/>
        <v>13783.67859668555</v>
      </c>
      <c r="AF102" s="1">
        <f t="shared" si="113"/>
        <v>6891.839298342775</v>
      </c>
      <c r="AG102" s="1">
        <f t="shared" si="114"/>
        <v>31953.073110498313</v>
      </c>
      <c r="AH102"/>
      <c r="AI102"/>
      <c r="AJ102"/>
      <c r="AK102"/>
      <c r="AL102"/>
      <c r="AM102"/>
      <c r="AN102"/>
      <c r="AP102" t="s">
        <v>102</v>
      </c>
      <c r="AQ102" s="6" t="s">
        <v>169</v>
      </c>
      <c r="AR102" s="1">
        <v>715540</v>
      </c>
      <c r="AS102" s="1">
        <v>84042.43410639999</v>
      </c>
      <c r="AT102" s="1">
        <v>42021.217053199995</v>
      </c>
      <c r="AU102" s="1">
        <v>194825.64270119998</v>
      </c>
      <c r="AV102" s="1">
        <v>9664.879922236</v>
      </c>
      <c r="AW102" s="1">
        <v>6723.394728511999</v>
      </c>
      <c r="AX102" s="1">
        <v>27734.003255112</v>
      </c>
      <c r="AY102" s="1">
        <f t="shared" si="115"/>
        <v>1768.673025769188</v>
      </c>
      <c r="AZ102" s="1">
        <f t="shared" si="116"/>
        <v>1033.8955039436364</v>
      </c>
      <c r="BA102" s="1">
        <f t="shared" si="117"/>
        <v>2441.476244771787</v>
      </c>
      <c r="BB102" s="1">
        <f t="shared" si="118"/>
        <v>560.563035489688</v>
      </c>
      <c r="BC102" s="1">
        <f t="shared" si="119"/>
        <v>0</v>
      </c>
      <c r="BD102" s="1">
        <f t="shared" si="120"/>
        <v>1342.6045263013516</v>
      </c>
      <c r="BE102" s="1">
        <f t="shared" si="143"/>
        <v>1739.6783860024798</v>
      </c>
      <c r="BF102" s="1">
        <f t="shared" si="144"/>
        <v>838.5249820531952</v>
      </c>
      <c r="BG102" s="1">
        <f t="shared" si="145"/>
        <v>3559.3819777610734</v>
      </c>
      <c r="BH102" s="1">
        <f t="shared" si="146"/>
        <v>773.19039377888</v>
      </c>
      <c r="BI102" s="1">
        <f t="shared" si="147"/>
        <v>276.80216097283903</v>
      </c>
      <c r="BJ102" s="1">
        <f t="shared" si="148"/>
        <v>2485.807115999099</v>
      </c>
      <c r="BL102" s="2">
        <v>0.98</v>
      </c>
      <c r="BM102" s="2">
        <v>0</v>
      </c>
      <c r="BO102" s="1">
        <f t="shared" si="121"/>
        <v>1768.673025769188</v>
      </c>
      <c r="BP102" s="1">
        <f t="shared" si="122"/>
        <v>1033.8955039436364</v>
      </c>
      <c r="BQ102" s="1">
        <f t="shared" si="123"/>
        <v>2441.476244771787</v>
      </c>
      <c r="BR102" s="1">
        <f t="shared" si="124"/>
        <v>121.08161566577263</v>
      </c>
      <c r="BS102" s="1">
        <f t="shared" si="125"/>
        <v>0</v>
      </c>
      <c r="BT102" s="1">
        <f t="shared" si="126"/>
        <v>290.0025776810919</v>
      </c>
      <c r="BU102" s="1">
        <f t="shared" si="127"/>
        <v>1739.6783860024798</v>
      </c>
      <c r="BV102" s="1">
        <f t="shared" si="128"/>
        <v>838.5249820531952</v>
      </c>
      <c r="BW102" s="1">
        <f t="shared" si="129"/>
        <v>3559.3819777610734</v>
      </c>
      <c r="BX102" s="1">
        <f t="shared" si="130"/>
        <v>773.19039377888</v>
      </c>
      <c r="BY102" s="1">
        <f t="shared" si="131"/>
        <v>276.80216097283903</v>
      </c>
      <c r="BZ102" s="1">
        <f t="shared" si="132"/>
        <v>2485.807115999099</v>
      </c>
      <c r="CA102" s="1">
        <f t="shared" si="133"/>
        <v>9225.398502412085</v>
      </c>
      <c r="CB102" s="1">
        <f t="shared" si="134"/>
        <v>6723.394728511999</v>
      </c>
      <c r="CC102" s="1">
        <f t="shared" si="135"/>
        <v>26681.401306491738</v>
      </c>
      <c r="CD102" s="1">
        <f t="shared" si="86"/>
        <v>80747.97068942912</v>
      </c>
      <c r="CE102" s="1">
        <f t="shared" si="87"/>
        <v>40373.98534471456</v>
      </c>
      <c r="CF102" s="1">
        <f t="shared" si="88"/>
        <v>187188.47750731293</v>
      </c>
      <c r="CG102" t="s">
        <v>102</v>
      </c>
      <c r="CH102" s="6" t="s">
        <v>169</v>
      </c>
      <c r="CI102" s="1">
        <v>715540</v>
      </c>
      <c r="CJ102" s="102">
        <v>1.06479</v>
      </c>
      <c r="CK102" s="1">
        <v>63.667</v>
      </c>
      <c r="CL102" s="1">
        <f t="shared" si="136"/>
        <v>64.73179</v>
      </c>
      <c r="CM102" s="1">
        <v>1.02771513927577</v>
      </c>
      <c r="CN102" s="1">
        <v>59.3088422619048</v>
      </c>
      <c r="CO102" s="1">
        <f t="shared" si="137"/>
        <v>60.33655740118057</v>
      </c>
      <c r="CP102" s="1">
        <f t="shared" si="89"/>
        <v>19.886929319429115</v>
      </c>
      <c r="CQ102" s="1">
        <f t="shared" si="90"/>
        <v>10.528729266506009</v>
      </c>
      <c r="CR102" s="1">
        <f t="shared" si="91"/>
        <v>27.489335551977867</v>
      </c>
      <c r="CS102" s="1">
        <f t="shared" si="92"/>
        <v>3.3249483204972177</v>
      </c>
      <c r="CT102" s="1">
        <f t="shared" si="93"/>
        <v>0.4031323144214755</v>
      </c>
      <c r="CU102" s="1">
        <f t="shared" si="94"/>
        <v>6.556940165942381</v>
      </c>
    </row>
    <row r="103" spans="1:99" ht="12.75">
      <c r="A103" t="s">
        <v>103</v>
      </c>
      <c r="B103" s="1">
        <v>281883</v>
      </c>
      <c r="C103" s="6" t="s">
        <v>96</v>
      </c>
      <c r="D103" s="113">
        <v>9</v>
      </c>
      <c r="E103" s="113">
        <v>12</v>
      </c>
      <c r="F103" s="107">
        <v>74.4</v>
      </c>
      <c r="G103" s="107">
        <v>0.3</v>
      </c>
      <c r="H103" s="107">
        <v>14.7</v>
      </c>
      <c r="I103" s="1">
        <f t="shared" si="95"/>
        <v>25369.47</v>
      </c>
      <c r="J103" s="1">
        <f t="shared" si="96"/>
        <v>33825.96</v>
      </c>
      <c r="K103" s="1">
        <f t="shared" si="97"/>
        <v>209720.95200000002</v>
      </c>
      <c r="L103" s="1">
        <f t="shared" si="98"/>
        <v>845.6489999999999</v>
      </c>
      <c r="M103" s="1">
        <f t="shared" si="99"/>
        <v>41436.801</v>
      </c>
      <c r="N103" s="12">
        <f t="shared" si="138"/>
        <v>-0.10312000000000002</v>
      </c>
      <c r="O103" s="12">
        <f t="shared" si="139"/>
        <v>0.01276</v>
      </c>
      <c r="P103" s="12">
        <f t="shared" si="140"/>
        <v>0.06549000000000005</v>
      </c>
      <c r="Q103" s="12">
        <f t="shared" si="141"/>
        <v>-0.4150400000000001</v>
      </c>
      <c r="R103" s="12">
        <f t="shared" si="142"/>
        <v>0.020987999999999996</v>
      </c>
      <c r="S103" s="1">
        <f t="shared" si="100"/>
        <v>36035.122172280004</v>
      </c>
      <c r="T103" s="2">
        <f t="shared" si="101"/>
        <v>0.12783716</v>
      </c>
      <c r="U103" s="1">
        <f t="shared" si="102"/>
        <v>4144.039049812201</v>
      </c>
      <c r="V103" s="1">
        <f t="shared" si="103"/>
        <v>1074.0628514669781</v>
      </c>
      <c r="W103" s="1">
        <f t="shared" si="104"/>
        <v>537.0314257334891</v>
      </c>
      <c r="X103" s="1">
        <f t="shared" si="105"/>
        <v>2489.872973855267</v>
      </c>
      <c r="Y103" s="1">
        <f t="shared" si="106"/>
        <v>299.8122164733695</v>
      </c>
      <c r="Z103" s="1">
        <f t="shared" si="107"/>
        <v>149.90610823668476</v>
      </c>
      <c r="AA103" s="1">
        <f t="shared" si="108"/>
        <v>695.0192290973564</v>
      </c>
      <c r="AB103" s="1">
        <f t="shared" si="109"/>
        <v>9260.782800850076</v>
      </c>
      <c r="AC103" s="1">
        <f t="shared" si="110"/>
        <v>4630.391400425038</v>
      </c>
      <c r="AD103" s="1">
        <f t="shared" si="111"/>
        <v>21468.178311061536</v>
      </c>
      <c r="AE103" s="1">
        <f t="shared" si="112"/>
        <v>5481.3301806695845</v>
      </c>
      <c r="AF103" s="1">
        <f t="shared" si="113"/>
        <v>2740.6650903347922</v>
      </c>
      <c r="AG103" s="1">
        <f t="shared" si="114"/>
        <v>12706.719964279488</v>
      </c>
      <c r="AH103"/>
      <c r="AI103"/>
      <c r="AJ103"/>
      <c r="AK103"/>
      <c r="AL103"/>
      <c r="AM103"/>
      <c r="AN103"/>
      <c r="AP103" t="s">
        <v>103</v>
      </c>
      <c r="AQ103" s="6" t="s">
        <v>169</v>
      </c>
      <c r="AR103" s="1">
        <v>281883</v>
      </c>
      <c r="AS103" s="1">
        <v>36035.122172280004</v>
      </c>
      <c r="AT103" s="1">
        <v>18017.561086140002</v>
      </c>
      <c r="AU103" s="1">
        <v>83535.96503574</v>
      </c>
      <c r="AV103" s="1">
        <v>4144.039049812201</v>
      </c>
      <c r="AW103" s="1">
        <v>2882.8097737824005</v>
      </c>
      <c r="AX103" s="1">
        <v>11891.590316852402</v>
      </c>
      <c r="AY103" s="1">
        <f t="shared" si="115"/>
        <v>758.3591461156327</v>
      </c>
      <c r="AZ103" s="1">
        <f t="shared" si="116"/>
        <v>443.30642245335423</v>
      </c>
      <c r="BA103" s="1">
        <f t="shared" si="117"/>
        <v>1046.8389652980195</v>
      </c>
      <c r="BB103" s="1">
        <f t="shared" si="118"/>
        <v>240.35426488910764</v>
      </c>
      <c r="BC103" s="1">
        <f t="shared" si="119"/>
        <v>0</v>
      </c>
      <c r="BD103" s="1">
        <f t="shared" si="120"/>
        <v>575.6724998359017</v>
      </c>
      <c r="BE103" s="1">
        <f t="shared" si="143"/>
        <v>745.9270289661961</v>
      </c>
      <c r="BF103" s="1">
        <f t="shared" si="144"/>
        <v>359.5368279617065</v>
      </c>
      <c r="BG103" s="1">
        <f t="shared" si="145"/>
        <v>1526.166701264837</v>
      </c>
      <c r="BH103" s="1">
        <f t="shared" si="146"/>
        <v>331.52312398497605</v>
      </c>
      <c r="BI103" s="1">
        <f t="shared" si="147"/>
        <v>118.68527838662142</v>
      </c>
      <c r="BJ103" s="1">
        <f t="shared" si="148"/>
        <v>1065.846843611698</v>
      </c>
      <c r="BL103" s="2">
        <v>0.99</v>
      </c>
      <c r="BM103" s="2">
        <v>0.99</v>
      </c>
      <c r="BO103" s="1">
        <f t="shared" si="121"/>
        <v>322.90932441603644</v>
      </c>
      <c r="BP103" s="1">
        <f t="shared" si="122"/>
        <v>188.75987468063826</v>
      </c>
      <c r="BQ103" s="1">
        <f t="shared" si="123"/>
        <v>445.7440314238968</v>
      </c>
      <c r="BR103" s="1">
        <f t="shared" si="124"/>
        <v>49.993687096934394</v>
      </c>
      <c r="BS103" s="1">
        <f t="shared" si="125"/>
        <v>0</v>
      </c>
      <c r="BT103" s="1">
        <f t="shared" si="126"/>
        <v>119.73987996586754</v>
      </c>
      <c r="BU103" s="1">
        <f t="shared" si="127"/>
        <v>745.9270289661961</v>
      </c>
      <c r="BV103" s="1">
        <f t="shared" si="128"/>
        <v>359.5368279617065</v>
      </c>
      <c r="BW103" s="1">
        <f t="shared" si="129"/>
        <v>1526.166701264837</v>
      </c>
      <c r="BX103" s="1">
        <f t="shared" si="130"/>
        <v>331.52312398497605</v>
      </c>
      <c r="BY103" s="1">
        <f t="shared" si="131"/>
        <v>118.68527838662142</v>
      </c>
      <c r="BZ103" s="1">
        <f t="shared" si="132"/>
        <v>1065.846843611698</v>
      </c>
      <c r="CA103" s="1">
        <f t="shared" si="133"/>
        <v>3518.228650320431</v>
      </c>
      <c r="CB103" s="1">
        <f t="shared" si="134"/>
        <v>2628.2632260096843</v>
      </c>
      <c r="CC103" s="1">
        <f t="shared" si="135"/>
        <v>10834.562763108244</v>
      </c>
      <c r="CD103" s="1">
        <f t="shared" si="86"/>
        <v>32110.897367718713</v>
      </c>
      <c r="CE103" s="1">
        <f t="shared" si="87"/>
        <v>16055.448683859357</v>
      </c>
      <c r="CF103" s="1">
        <f t="shared" si="88"/>
        <v>74438.8984433479</v>
      </c>
      <c r="CG103" t="s">
        <v>103</v>
      </c>
      <c r="CH103" s="6" t="s">
        <v>169</v>
      </c>
      <c r="CI103" s="1">
        <v>281883</v>
      </c>
      <c r="CJ103" s="102">
        <v>0.0080926</v>
      </c>
      <c r="CK103" s="1">
        <v>27.92603</v>
      </c>
      <c r="CL103" s="1">
        <f t="shared" si="136"/>
        <v>27.934122600000002</v>
      </c>
      <c r="CM103" s="1">
        <v>0.00760945970149254</v>
      </c>
      <c r="CN103" s="1">
        <v>24.6902869442019</v>
      </c>
      <c r="CO103" s="1">
        <f t="shared" si="137"/>
        <v>24.697896403903393</v>
      </c>
      <c r="CP103" s="1">
        <f t="shared" si="89"/>
        <v>4.27532616669003</v>
      </c>
      <c r="CQ103" s="1">
        <f t="shared" si="90"/>
        <v>2.039454640517587</v>
      </c>
      <c r="CR103" s="1">
        <f t="shared" si="91"/>
        <v>6.488747816707824</v>
      </c>
      <c r="CS103" s="1">
        <f t="shared" si="92"/>
        <v>1.313291751838976</v>
      </c>
      <c r="CT103" s="1">
        <f t="shared" si="93"/>
        <v>0.15894399202972326</v>
      </c>
      <c r="CU103" s="1">
        <f t="shared" si="94"/>
        <v>2.595026328009348</v>
      </c>
    </row>
    <row r="104" spans="1:99" ht="12.75">
      <c r="A104" t="s">
        <v>104</v>
      </c>
      <c r="B104" s="1">
        <v>90524</v>
      </c>
      <c r="C104" s="6" t="s">
        <v>96</v>
      </c>
      <c r="D104" s="107">
        <v>5.3</v>
      </c>
      <c r="E104" s="113">
        <v>10</v>
      </c>
      <c r="F104" s="107">
        <v>74.4</v>
      </c>
      <c r="G104" s="107">
        <v>0.3</v>
      </c>
      <c r="H104" s="107">
        <v>14.7</v>
      </c>
      <c r="I104" s="1">
        <f t="shared" si="95"/>
        <v>4797.772</v>
      </c>
      <c r="J104" s="1">
        <f t="shared" si="96"/>
        <v>9052.4</v>
      </c>
      <c r="K104" s="1">
        <f t="shared" si="97"/>
        <v>67349.856</v>
      </c>
      <c r="L104" s="1">
        <f t="shared" si="98"/>
        <v>271.572</v>
      </c>
      <c r="M104" s="1">
        <f t="shared" si="99"/>
        <v>13307.028</v>
      </c>
      <c r="N104" s="12">
        <f t="shared" si="138"/>
        <v>-0.13272000000000003</v>
      </c>
      <c r="O104" s="12">
        <f t="shared" si="139"/>
        <v>0.004760000000000004</v>
      </c>
      <c r="P104" s="12">
        <f t="shared" si="140"/>
        <v>0.06549000000000005</v>
      </c>
      <c r="Q104" s="12">
        <f t="shared" si="141"/>
        <v>-0.4150400000000001</v>
      </c>
      <c r="R104" s="12">
        <f t="shared" si="142"/>
        <v>0.020987999999999996</v>
      </c>
      <c r="S104" s="1">
        <f t="shared" si="100"/>
        <v>10823.516543839998</v>
      </c>
      <c r="T104" s="2">
        <f t="shared" si="101"/>
        <v>0.11956515999999998</v>
      </c>
      <c r="U104" s="1">
        <f t="shared" si="102"/>
        <v>1244.7044025415998</v>
      </c>
      <c r="V104" s="1">
        <f t="shared" si="103"/>
        <v>331.3944295392931</v>
      </c>
      <c r="W104" s="1">
        <f t="shared" si="104"/>
        <v>165.69721476964656</v>
      </c>
      <c r="X104" s="1">
        <f t="shared" si="105"/>
        <v>768.2325412047251</v>
      </c>
      <c r="Y104" s="1">
        <f t="shared" si="106"/>
        <v>96.97870823280635</v>
      </c>
      <c r="Z104" s="1">
        <f t="shared" si="107"/>
        <v>48.48935411640318</v>
      </c>
      <c r="AA104" s="1">
        <f t="shared" si="108"/>
        <v>224.81427817605118</v>
      </c>
      <c r="AB104" s="1">
        <f t="shared" si="109"/>
        <v>2788.437889571778</v>
      </c>
      <c r="AC104" s="1">
        <f t="shared" si="110"/>
        <v>1394.218944785889</v>
      </c>
      <c r="AD104" s="1">
        <f t="shared" si="111"/>
        <v>6464.106016734579</v>
      </c>
      <c r="AE104" s="1">
        <f t="shared" si="112"/>
        <v>1650.4380989941142</v>
      </c>
      <c r="AF104" s="1">
        <f t="shared" si="113"/>
        <v>825.2190494970571</v>
      </c>
      <c r="AG104" s="1">
        <f t="shared" si="114"/>
        <v>3826.01559312272</v>
      </c>
      <c r="AH104"/>
      <c r="AI104"/>
      <c r="AJ104"/>
      <c r="AK104"/>
      <c r="AL104"/>
      <c r="AM104"/>
      <c r="AN104"/>
      <c r="AP104" t="s">
        <v>104</v>
      </c>
      <c r="AQ104" s="6" t="s">
        <v>169</v>
      </c>
      <c r="AR104" s="1">
        <v>90524</v>
      </c>
      <c r="AS104" s="1">
        <v>10823.516543839998</v>
      </c>
      <c r="AT104" s="1">
        <v>5411.758271919999</v>
      </c>
      <c r="AU104" s="1">
        <v>25090.879260719998</v>
      </c>
      <c r="AV104" s="1">
        <v>1244.7044025415998</v>
      </c>
      <c r="AW104" s="1">
        <v>865.8813235071999</v>
      </c>
      <c r="AX104" s="1">
        <v>3571.7604594671993</v>
      </c>
      <c r="AY104" s="1">
        <f t="shared" si="115"/>
        <v>227.78090566511275</v>
      </c>
      <c r="AZ104" s="1">
        <f t="shared" si="116"/>
        <v>133.1516062155983</v>
      </c>
      <c r="BA104" s="1">
        <f t="shared" si="117"/>
        <v>314.4287621801217</v>
      </c>
      <c r="BB104" s="1">
        <f t="shared" si="118"/>
        <v>72.19285534741279</v>
      </c>
      <c r="BC104" s="1">
        <f t="shared" si="119"/>
        <v>0</v>
      </c>
      <c r="BD104" s="1">
        <f t="shared" si="120"/>
        <v>172.90910784258836</v>
      </c>
      <c r="BE104" s="1">
        <f t="shared" si="143"/>
        <v>224.04679245748795</v>
      </c>
      <c r="BF104" s="1">
        <f t="shared" si="144"/>
        <v>107.99055396450919</v>
      </c>
      <c r="BG104" s="1">
        <f t="shared" si="145"/>
        <v>458.39973736802034</v>
      </c>
      <c r="BH104" s="1">
        <f t="shared" si="146"/>
        <v>99.57635220332799</v>
      </c>
      <c r="BI104" s="1">
        <f t="shared" si="147"/>
        <v>35.648334088791415</v>
      </c>
      <c r="BJ104" s="1">
        <f t="shared" si="148"/>
        <v>320.13797233369945</v>
      </c>
      <c r="BL104" s="2">
        <v>0.97</v>
      </c>
      <c r="BM104" s="2">
        <v>0.97</v>
      </c>
      <c r="BO104" s="1">
        <f t="shared" si="121"/>
        <v>99.63136813792033</v>
      </c>
      <c r="BP104" s="1">
        <f t="shared" si="122"/>
        <v>58.240512558702704</v>
      </c>
      <c r="BQ104" s="1">
        <f t="shared" si="123"/>
        <v>137.53114057758523</v>
      </c>
      <c r="BR104" s="1">
        <f t="shared" si="124"/>
        <v>16.17119959782046</v>
      </c>
      <c r="BS104" s="1">
        <f t="shared" si="125"/>
        <v>0</v>
      </c>
      <c r="BT104" s="1">
        <f t="shared" si="126"/>
        <v>38.731640156739786</v>
      </c>
      <c r="BU104" s="1">
        <f t="shared" si="127"/>
        <v>224.04679245748795</v>
      </c>
      <c r="BV104" s="1">
        <f t="shared" si="128"/>
        <v>107.99055396450919</v>
      </c>
      <c r="BW104" s="1">
        <f t="shared" si="129"/>
        <v>458.39973736802034</v>
      </c>
      <c r="BX104" s="1">
        <f t="shared" si="130"/>
        <v>99.57635220332799</v>
      </c>
      <c r="BY104" s="1">
        <f t="shared" si="131"/>
        <v>35.648334088791415</v>
      </c>
      <c r="BZ104" s="1">
        <f t="shared" si="132"/>
        <v>320.13797233369945</v>
      </c>
      <c r="CA104" s="1">
        <f t="shared" si="133"/>
        <v>1060.533209264815</v>
      </c>
      <c r="CB104" s="1">
        <f t="shared" si="134"/>
        <v>790.9702298503043</v>
      </c>
      <c r="CC104" s="1">
        <f t="shared" si="135"/>
        <v>3260.685370178814</v>
      </c>
      <c r="CD104" s="1">
        <f t="shared" si="86"/>
        <v>9668.64732861227</v>
      </c>
      <c r="CE104" s="1">
        <f t="shared" si="87"/>
        <v>4834.323664306135</v>
      </c>
      <c r="CF104" s="1">
        <f t="shared" si="88"/>
        <v>22413.682443601174</v>
      </c>
      <c r="CG104" t="s">
        <v>104</v>
      </c>
      <c r="CH104" s="6" t="s">
        <v>169</v>
      </c>
      <c r="CI104" s="1">
        <v>90524</v>
      </c>
      <c r="CJ104" s="102">
        <v>0.0762612</v>
      </c>
      <c r="CK104" s="1">
        <v>3.655897</v>
      </c>
      <c r="CL104" s="1">
        <f t="shared" si="136"/>
        <v>3.7321581999999998</v>
      </c>
      <c r="CM104" s="1">
        <v>0.0736613863636364</v>
      </c>
      <c r="CN104" s="1">
        <v>4.08111571460396</v>
      </c>
      <c r="CO104" s="1">
        <f t="shared" si="137"/>
        <v>4.154777100967596</v>
      </c>
      <c r="CP104" s="1">
        <f t="shared" si="89"/>
        <v>0.7353377771168835</v>
      </c>
      <c r="CQ104" s="1">
        <f t="shared" si="90"/>
        <v>0.3516406246320196</v>
      </c>
      <c r="CR104" s="1">
        <f t="shared" si="91"/>
        <v>1.1133313756874148</v>
      </c>
      <c r="CS104" s="1">
        <f t="shared" si="92"/>
        <v>0.23695227458942322</v>
      </c>
      <c r="CT104" s="1">
        <f t="shared" si="93"/>
        <v>0.02878071801546153</v>
      </c>
      <c r="CU104" s="1">
        <f t="shared" si="94"/>
        <v>0.4663566769865585</v>
      </c>
    </row>
    <row r="105" spans="1:99" ht="12.75">
      <c r="A105" t="s">
        <v>105</v>
      </c>
      <c r="B105" s="1">
        <v>3145187</v>
      </c>
      <c r="C105" s="6" t="s">
        <v>96</v>
      </c>
      <c r="D105" s="113">
        <v>5.3</v>
      </c>
      <c r="E105" s="113">
        <v>11</v>
      </c>
      <c r="F105" s="107">
        <v>74.4</v>
      </c>
      <c r="G105" s="107">
        <v>0.3</v>
      </c>
      <c r="H105" s="107">
        <v>14.7</v>
      </c>
      <c r="I105" s="1">
        <f t="shared" si="95"/>
        <v>166694.911</v>
      </c>
      <c r="J105" s="1">
        <f t="shared" si="96"/>
        <v>345970.57</v>
      </c>
      <c r="K105" s="1">
        <f t="shared" si="97"/>
        <v>2340019.128</v>
      </c>
      <c r="L105" s="1">
        <f t="shared" si="98"/>
        <v>9435.561</v>
      </c>
      <c r="M105" s="1">
        <f t="shared" si="99"/>
        <v>462342.489</v>
      </c>
      <c r="N105" s="12">
        <f t="shared" si="138"/>
        <v>-0.13272000000000003</v>
      </c>
      <c r="O105" s="12">
        <f t="shared" si="139"/>
        <v>0.008760000000000002</v>
      </c>
      <c r="P105" s="12">
        <f t="shared" si="140"/>
        <v>0.06549000000000005</v>
      </c>
      <c r="Q105" s="12">
        <f t="shared" si="141"/>
        <v>-0.4150400000000001</v>
      </c>
      <c r="R105" s="12">
        <f t="shared" si="142"/>
        <v>0.020987999999999996</v>
      </c>
      <c r="S105" s="1">
        <f t="shared" si="100"/>
        <v>378822.55144491995</v>
      </c>
      <c r="T105" s="2">
        <f t="shared" si="101"/>
        <v>0.12044515999999998</v>
      </c>
      <c r="U105" s="1">
        <f t="shared" si="102"/>
        <v>43564.59341616579</v>
      </c>
      <c r="V105" s="1">
        <f t="shared" si="103"/>
        <v>11444.986924253924</v>
      </c>
      <c r="W105" s="1">
        <f t="shared" si="104"/>
        <v>5722.493462126962</v>
      </c>
      <c r="X105" s="1">
        <f t="shared" si="105"/>
        <v>26531.5605971341</v>
      </c>
      <c r="Y105" s="1">
        <f t="shared" si="106"/>
        <v>3273.0268444841076</v>
      </c>
      <c r="Z105" s="1">
        <f t="shared" si="107"/>
        <v>1636.5134222420538</v>
      </c>
      <c r="AA105" s="1">
        <f t="shared" si="108"/>
        <v>7587.47132130407</v>
      </c>
      <c r="AB105" s="1">
        <f t="shared" si="109"/>
        <v>97475.01254711703</v>
      </c>
      <c r="AC105" s="1">
        <f t="shared" si="110"/>
        <v>48737.506273558516</v>
      </c>
      <c r="AD105" s="1">
        <f t="shared" si="111"/>
        <v>225964.80181377134</v>
      </c>
      <c r="AE105" s="1">
        <f t="shared" si="112"/>
        <v>57694.121504136194</v>
      </c>
      <c r="AF105" s="1">
        <f t="shared" si="113"/>
        <v>28847.060752068097</v>
      </c>
      <c r="AG105" s="1">
        <f t="shared" si="114"/>
        <v>133745.46348686118</v>
      </c>
      <c r="AH105"/>
      <c r="AI105"/>
      <c r="AJ105"/>
      <c r="AK105"/>
      <c r="AL105"/>
      <c r="AM105"/>
      <c r="AN105"/>
      <c r="AP105" t="s">
        <v>105</v>
      </c>
      <c r="AQ105" s="6" t="s">
        <v>169</v>
      </c>
      <c r="AR105" s="1">
        <v>3145187</v>
      </c>
      <c r="AS105" s="1">
        <v>378822.55144491995</v>
      </c>
      <c r="AT105" s="1">
        <v>189411.27572245998</v>
      </c>
      <c r="AU105" s="1">
        <v>878179.5510768599</v>
      </c>
      <c r="AV105" s="1">
        <v>43564.59341616579</v>
      </c>
      <c r="AW105" s="1">
        <v>30305.804115593597</v>
      </c>
      <c r="AX105" s="1">
        <v>125011.4419768236</v>
      </c>
      <c r="AY105" s="1">
        <f t="shared" si="115"/>
        <v>7972.32059515834</v>
      </c>
      <c r="AZ105" s="1">
        <f t="shared" si="116"/>
        <v>4660.299727105759</v>
      </c>
      <c r="BA105" s="1">
        <f t="shared" si="117"/>
        <v>11004.991349556574</v>
      </c>
      <c r="BB105" s="1">
        <f t="shared" si="118"/>
        <v>2526.7464181376163</v>
      </c>
      <c r="BC105" s="1">
        <f t="shared" si="119"/>
        <v>0</v>
      </c>
      <c r="BD105" s="1">
        <f t="shared" si="120"/>
        <v>6051.8103460814045</v>
      </c>
      <c r="BE105" s="1">
        <f t="shared" si="143"/>
        <v>7841.626814909842</v>
      </c>
      <c r="BF105" s="1">
        <f t="shared" si="144"/>
        <v>3779.6641247865437</v>
      </c>
      <c r="BG105" s="1">
        <f t="shared" si="145"/>
        <v>16043.968463305537</v>
      </c>
      <c r="BH105" s="1">
        <f t="shared" si="146"/>
        <v>3485.1674732932634</v>
      </c>
      <c r="BI105" s="1">
        <f t="shared" si="147"/>
        <v>1247.6899554389881</v>
      </c>
      <c r="BJ105" s="1">
        <f t="shared" si="148"/>
        <v>11204.813426637842</v>
      </c>
      <c r="BL105" s="2">
        <v>0.98</v>
      </c>
      <c r="BM105" s="2">
        <v>0.98</v>
      </c>
      <c r="BO105" s="1">
        <f t="shared" si="121"/>
        <v>3440.8535688703405</v>
      </c>
      <c r="BP105" s="1">
        <f t="shared" si="122"/>
        <v>2011.3853622188458</v>
      </c>
      <c r="BQ105" s="1">
        <f t="shared" si="123"/>
        <v>4749.754266468619</v>
      </c>
      <c r="BR105" s="1">
        <f t="shared" si="124"/>
        <v>545.7772263177251</v>
      </c>
      <c r="BS105" s="1">
        <f t="shared" si="125"/>
        <v>0</v>
      </c>
      <c r="BT105" s="1">
        <f t="shared" si="126"/>
        <v>1307.1910347535832</v>
      </c>
      <c r="BU105" s="1">
        <f t="shared" si="127"/>
        <v>7841.626814909842</v>
      </c>
      <c r="BV105" s="1">
        <f t="shared" si="128"/>
        <v>3779.6641247865437</v>
      </c>
      <c r="BW105" s="1">
        <f t="shared" si="129"/>
        <v>16043.968463305537</v>
      </c>
      <c r="BX105" s="1">
        <f t="shared" si="130"/>
        <v>3485.1674732932634</v>
      </c>
      <c r="BY105" s="1">
        <f t="shared" si="131"/>
        <v>1247.6899554389881</v>
      </c>
      <c r="BZ105" s="1">
        <f t="shared" si="132"/>
        <v>11204.813426637842</v>
      </c>
      <c r="CA105" s="1">
        <f t="shared" si="133"/>
        <v>37052.1571980579</v>
      </c>
      <c r="CB105" s="1">
        <f t="shared" si="134"/>
        <v>27656.889750706683</v>
      </c>
      <c r="CC105" s="1">
        <f t="shared" si="135"/>
        <v>114011.58558240782</v>
      </c>
      <c r="CD105" s="1">
        <f t="shared" si="86"/>
        <v>337985.48039915756</v>
      </c>
      <c r="CE105" s="1">
        <f t="shared" si="87"/>
        <v>168992.74019957878</v>
      </c>
      <c r="CF105" s="1">
        <f t="shared" si="88"/>
        <v>783511.7954707744</v>
      </c>
      <c r="CG105" t="s">
        <v>105</v>
      </c>
      <c r="CH105" s="6" t="s">
        <v>169</v>
      </c>
      <c r="CI105" s="1">
        <v>3145187</v>
      </c>
      <c r="CJ105" s="102">
        <v>5.216887</v>
      </c>
      <c r="CK105" s="1">
        <v>784.0573</v>
      </c>
      <c r="CL105" s="1">
        <f t="shared" si="136"/>
        <v>789.2741870000001</v>
      </c>
      <c r="CM105" s="1">
        <v>2.97924490423476</v>
      </c>
      <c r="CN105" s="1">
        <v>368.590578275669</v>
      </c>
      <c r="CO105" s="1">
        <f t="shared" si="137"/>
        <v>371.5698231799037</v>
      </c>
      <c r="CP105" s="1">
        <f t="shared" si="89"/>
        <v>65.04331548566117</v>
      </c>
      <c r="CQ105" s="1">
        <f t="shared" si="90"/>
        <v>31.065766921675863</v>
      </c>
      <c r="CR105" s="1">
        <f t="shared" si="91"/>
        <v>98.59745788905566</v>
      </c>
      <c r="CS105" s="1">
        <f t="shared" si="92"/>
        <v>20.475985252438278</v>
      </c>
      <c r="CT105" s="1">
        <f t="shared" si="93"/>
        <v>2.4826043983868744</v>
      </c>
      <c r="CU105" s="1">
        <f t="shared" si="94"/>
        <v>40.37951787439481</v>
      </c>
    </row>
    <row r="106" spans="1:99" ht="12.75">
      <c r="A106" t="s">
        <v>106</v>
      </c>
      <c r="B106" s="1">
        <v>2493561</v>
      </c>
      <c r="C106" s="6" t="s">
        <v>96</v>
      </c>
      <c r="D106" s="113">
        <v>10</v>
      </c>
      <c r="E106" s="113">
        <v>10</v>
      </c>
      <c r="F106" s="113">
        <v>57</v>
      </c>
      <c r="G106" s="113">
        <v>0.3</v>
      </c>
      <c r="H106" s="107">
        <v>14.7</v>
      </c>
      <c r="I106" s="1">
        <f t="shared" si="95"/>
        <v>249356.1</v>
      </c>
      <c r="J106" s="1">
        <f t="shared" si="96"/>
        <v>249356.1</v>
      </c>
      <c r="K106" s="1">
        <f t="shared" si="97"/>
        <v>1421329.77</v>
      </c>
      <c r="L106" s="1">
        <f t="shared" si="98"/>
        <v>7480.682999999999</v>
      </c>
      <c r="M106" s="1">
        <f t="shared" si="99"/>
        <v>366553.46699999995</v>
      </c>
      <c r="N106" s="12">
        <f t="shared" si="138"/>
        <v>-0.09512000000000001</v>
      </c>
      <c r="O106" s="12">
        <f t="shared" si="139"/>
        <v>0.004760000000000004</v>
      </c>
      <c r="P106" s="12">
        <f t="shared" si="140"/>
        <v>0.013290000000000001</v>
      </c>
      <c r="Q106" s="12">
        <f t="shared" si="141"/>
        <v>-0.4150400000000001</v>
      </c>
      <c r="R106" s="12">
        <f t="shared" si="142"/>
        <v>0.020987999999999996</v>
      </c>
      <c r="S106" s="1">
        <f t="shared" si="100"/>
        <v>290133.70200275996</v>
      </c>
      <c r="T106" s="2">
        <f t="shared" si="101"/>
        <v>0.11635315999999998</v>
      </c>
      <c r="U106" s="1">
        <f t="shared" si="102"/>
        <v>33365.3757303174</v>
      </c>
      <c r="V106" s="1">
        <f t="shared" si="103"/>
        <v>20309.3591401932</v>
      </c>
      <c r="W106" s="1">
        <f t="shared" si="104"/>
        <v>10154.6795700966</v>
      </c>
      <c r="X106" s="1">
        <f t="shared" si="105"/>
        <v>47080.787097720604</v>
      </c>
      <c r="Y106" s="1">
        <f t="shared" si="106"/>
        <v>4177.925308839744</v>
      </c>
      <c r="Z106" s="1">
        <f t="shared" si="107"/>
        <v>2088.962654419872</v>
      </c>
      <c r="AA106" s="1">
        <f t="shared" si="108"/>
        <v>9685.19048867395</v>
      </c>
      <c r="AB106" s="1">
        <f t="shared" si="109"/>
        <v>80996.97374855289</v>
      </c>
      <c r="AC106" s="1">
        <f t="shared" si="110"/>
        <v>40498.486874276445</v>
      </c>
      <c r="AD106" s="1">
        <f t="shared" si="111"/>
        <v>187765.71187164536</v>
      </c>
      <c r="AE106" s="1">
        <f t="shared" si="112"/>
        <v>47940.99659805124</v>
      </c>
      <c r="AF106" s="1">
        <f t="shared" si="113"/>
        <v>23970.49829902562</v>
      </c>
      <c r="AG106" s="1">
        <f t="shared" si="114"/>
        <v>111135.94665911881</v>
      </c>
      <c r="AH106"/>
      <c r="AI106"/>
      <c r="AJ106"/>
      <c r="AK106"/>
      <c r="AL106"/>
      <c r="AM106"/>
      <c r="AN106"/>
      <c r="AP106" t="s">
        <v>106</v>
      </c>
      <c r="AQ106" s="6" t="s">
        <v>169</v>
      </c>
      <c r="AR106" s="1">
        <v>2493561</v>
      </c>
      <c r="AS106" s="1">
        <v>290133.70200275996</v>
      </c>
      <c r="AT106" s="1">
        <v>145066.85100137998</v>
      </c>
      <c r="AU106" s="1">
        <v>672582.67282458</v>
      </c>
      <c r="AV106" s="1">
        <v>33365.3757303174</v>
      </c>
      <c r="AW106" s="1">
        <v>23210.6961602208</v>
      </c>
      <c r="AX106" s="1">
        <v>95744.1216609108</v>
      </c>
      <c r="AY106" s="1">
        <f t="shared" si="115"/>
        <v>6105.863758648084</v>
      </c>
      <c r="AZ106" s="1">
        <f t="shared" si="116"/>
        <v>3569.2437187553237</v>
      </c>
      <c r="BA106" s="1">
        <f t="shared" si="117"/>
        <v>8428.534332437815</v>
      </c>
      <c r="BB106" s="1">
        <f t="shared" si="118"/>
        <v>1935.1917923584092</v>
      </c>
      <c r="BC106" s="1">
        <f t="shared" si="119"/>
        <v>0</v>
      </c>
      <c r="BD106" s="1">
        <f t="shared" si="120"/>
        <v>4634.977861877625</v>
      </c>
      <c r="BE106" s="1">
        <f t="shared" si="143"/>
        <v>6005.767631457132</v>
      </c>
      <c r="BF106" s="1">
        <f t="shared" si="144"/>
        <v>2894.779998362337</v>
      </c>
      <c r="BG106" s="1">
        <f t="shared" si="145"/>
        <v>12287.80057396129</v>
      </c>
      <c r="BH106" s="1">
        <f t="shared" si="146"/>
        <v>2669.230058425392</v>
      </c>
      <c r="BI106" s="1">
        <f t="shared" si="147"/>
        <v>955.5843609162904</v>
      </c>
      <c r="BJ106" s="1">
        <f t="shared" si="148"/>
        <v>8581.574637837635</v>
      </c>
      <c r="BL106" s="2">
        <v>0.8</v>
      </c>
      <c r="BM106" s="2">
        <v>0</v>
      </c>
      <c r="BO106" s="1">
        <f t="shared" si="121"/>
        <v>6105.863758648084</v>
      </c>
      <c r="BP106" s="1">
        <f t="shared" si="122"/>
        <v>3569.2437187553237</v>
      </c>
      <c r="BQ106" s="1">
        <f t="shared" si="123"/>
        <v>8428.534332437815</v>
      </c>
      <c r="BR106" s="1">
        <f t="shared" si="124"/>
        <v>696.669045249027</v>
      </c>
      <c r="BS106" s="1">
        <f t="shared" si="125"/>
        <v>0</v>
      </c>
      <c r="BT106" s="1">
        <f t="shared" si="126"/>
        <v>1668.5920302759446</v>
      </c>
      <c r="BU106" s="1">
        <f t="shared" si="127"/>
        <v>6005.767631457132</v>
      </c>
      <c r="BV106" s="1">
        <f t="shared" si="128"/>
        <v>2894.779998362337</v>
      </c>
      <c r="BW106" s="1">
        <f t="shared" si="129"/>
        <v>12287.80057396129</v>
      </c>
      <c r="BX106" s="1">
        <f t="shared" si="130"/>
        <v>2669.230058425392</v>
      </c>
      <c r="BY106" s="1">
        <f t="shared" si="131"/>
        <v>955.5843609162904</v>
      </c>
      <c r="BZ106" s="1">
        <f t="shared" si="132"/>
        <v>8581.574637837635</v>
      </c>
      <c r="CA106" s="1">
        <f t="shared" si="133"/>
        <v>32126.852983208017</v>
      </c>
      <c r="CB106" s="1">
        <f t="shared" si="134"/>
        <v>23210.6961602208</v>
      </c>
      <c r="CC106" s="1">
        <f t="shared" si="135"/>
        <v>92777.73582930911</v>
      </c>
      <c r="CD106" s="1">
        <f t="shared" si="86"/>
        <v>280849.42353867163</v>
      </c>
      <c r="CE106" s="1">
        <f t="shared" si="87"/>
        <v>140424.71176933582</v>
      </c>
      <c r="CF106" s="1">
        <f t="shared" si="88"/>
        <v>651060.0272941934</v>
      </c>
      <c r="CG106" t="s">
        <v>106</v>
      </c>
      <c r="CH106" s="6" t="s">
        <v>169</v>
      </c>
      <c r="CI106" s="1">
        <v>2493561</v>
      </c>
      <c r="CJ106" s="102">
        <v>15.76385</v>
      </c>
      <c r="CK106" s="1">
        <v>611.3688</v>
      </c>
      <c r="CL106" s="1">
        <f t="shared" si="136"/>
        <v>627.13265</v>
      </c>
      <c r="CM106" s="1">
        <v>15.2548522123894</v>
      </c>
      <c r="CN106" s="1">
        <v>556.96180165534</v>
      </c>
      <c r="CO106" s="1">
        <f t="shared" si="137"/>
        <v>572.2166538677294</v>
      </c>
      <c r="CP106" s="1">
        <f t="shared" si="89"/>
        <v>188.6026091148036</v>
      </c>
      <c r="CQ106" s="1">
        <f t="shared" si="90"/>
        <v>99.85180609991878</v>
      </c>
      <c r="CR106" s="1">
        <f t="shared" si="91"/>
        <v>260.70190750213754</v>
      </c>
      <c r="CS106" s="1">
        <f t="shared" si="92"/>
        <v>50.69261359686428</v>
      </c>
      <c r="CT106" s="1">
        <f t="shared" si="93"/>
        <v>6.3437514896417495</v>
      </c>
      <c r="CU106" s="1">
        <f t="shared" si="94"/>
        <v>96.63923600104492</v>
      </c>
    </row>
    <row r="107" spans="1:99" ht="12.75">
      <c r="A107" t="s">
        <v>107</v>
      </c>
      <c r="B107" s="1">
        <v>868231</v>
      </c>
      <c r="C107" s="6" t="s">
        <v>96</v>
      </c>
      <c r="D107" s="113">
        <v>3</v>
      </c>
      <c r="E107" s="113">
        <v>5</v>
      </c>
      <c r="F107" s="115">
        <v>80</v>
      </c>
      <c r="G107" s="113">
        <v>0.4</v>
      </c>
      <c r="H107" s="107">
        <v>14.7</v>
      </c>
      <c r="I107" s="1">
        <f t="shared" si="95"/>
        <v>26046.93</v>
      </c>
      <c r="J107" s="1">
        <f t="shared" si="96"/>
        <v>43411.55</v>
      </c>
      <c r="K107" s="1">
        <f t="shared" si="97"/>
        <v>694584.8</v>
      </c>
      <c r="L107" s="1">
        <f t="shared" si="98"/>
        <v>3472.9240000000004</v>
      </c>
      <c r="M107" s="1">
        <f t="shared" si="99"/>
        <v>127629.957</v>
      </c>
      <c r="N107" s="12">
        <f t="shared" si="138"/>
        <v>-0.15112000000000003</v>
      </c>
      <c r="O107" s="12">
        <f t="shared" si="139"/>
        <v>-0.015239999999999998</v>
      </c>
      <c r="P107" s="12">
        <f t="shared" si="140"/>
        <v>0.08229000000000003</v>
      </c>
      <c r="Q107" s="12">
        <f t="shared" si="141"/>
        <v>-0.41424000000000005</v>
      </c>
      <c r="R107" s="12">
        <f t="shared" si="142"/>
        <v>0.020987999999999996</v>
      </c>
      <c r="S107" s="1">
        <f t="shared" si="100"/>
        <v>99837.15337595997</v>
      </c>
      <c r="T107" s="2">
        <f t="shared" si="101"/>
        <v>0.11498915999999997</v>
      </c>
      <c r="U107" s="1">
        <f t="shared" si="102"/>
        <v>11481.272638235398</v>
      </c>
      <c r="V107" s="1">
        <f t="shared" si="103"/>
        <v>6988.600736317198</v>
      </c>
      <c r="W107" s="1">
        <f t="shared" si="104"/>
        <v>3494.300368158599</v>
      </c>
      <c r="X107" s="1">
        <f t="shared" si="105"/>
        <v>16200.847161462598</v>
      </c>
      <c r="Y107" s="1">
        <f t="shared" si="106"/>
        <v>3993.486135038399</v>
      </c>
      <c r="Z107" s="1">
        <f t="shared" si="107"/>
        <v>1996.7430675191995</v>
      </c>
      <c r="AA107" s="1">
        <f t="shared" si="108"/>
        <v>9257.626949407198</v>
      </c>
      <c r="AB107" s="1">
        <f t="shared" si="109"/>
        <v>28793.035033626853</v>
      </c>
      <c r="AC107" s="1">
        <f t="shared" si="110"/>
        <v>14396.517516813426</v>
      </c>
      <c r="AD107" s="1">
        <f t="shared" si="111"/>
        <v>66747.49030522589</v>
      </c>
      <c r="AE107" s="1">
        <f t="shared" si="112"/>
        <v>17042.202081276366</v>
      </c>
      <c r="AF107" s="1">
        <f t="shared" si="113"/>
        <v>8521.101040638183</v>
      </c>
      <c r="AG107" s="1">
        <f t="shared" si="114"/>
        <v>39506.923006595214</v>
      </c>
      <c r="AH107"/>
      <c r="AI107"/>
      <c r="AJ107"/>
      <c r="AK107"/>
      <c r="AL107"/>
      <c r="AM107"/>
      <c r="AN107"/>
      <c r="AP107" t="s">
        <v>107</v>
      </c>
      <c r="AQ107" s="6" t="s">
        <v>169</v>
      </c>
      <c r="AR107" s="1">
        <v>868231</v>
      </c>
      <c r="AS107" s="1">
        <v>99837.15337595997</v>
      </c>
      <c r="AT107" s="1">
        <v>49918.576687979985</v>
      </c>
      <c r="AU107" s="1">
        <v>231440.67373517994</v>
      </c>
      <c r="AV107" s="1">
        <v>11481.272638235398</v>
      </c>
      <c r="AW107" s="1">
        <v>7986.972270076798</v>
      </c>
      <c r="AX107" s="1">
        <v>32946.26061406679</v>
      </c>
      <c r="AY107" s="1">
        <f t="shared" si="115"/>
        <v>2101.0728927970777</v>
      </c>
      <c r="AZ107" s="1">
        <f t="shared" si="116"/>
        <v>1228.2031702134595</v>
      </c>
      <c r="BA107" s="1">
        <f t="shared" si="117"/>
        <v>2900.321021217086</v>
      </c>
      <c r="BB107" s="1">
        <f t="shared" si="118"/>
        <v>665.9138130176531</v>
      </c>
      <c r="BC107" s="1">
        <f t="shared" si="119"/>
        <v>0</v>
      </c>
      <c r="BD107" s="1">
        <f t="shared" si="120"/>
        <v>1594.9301735585807</v>
      </c>
      <c r="BE107" s="1">
        <f t="shared" si="143"/>
        <v>2066.6290748823717</v>
      </c>
      <c r="BF107" s="1">
        <f t="shared" si="144"/>
        <v>996.1152140933032</v>
      </c>
      <c r="BG107" s="1">
        <f t="shared" si="145"/>
        <v>4228.323087209332</v>
      </c>
      <c r="BH107" s="1">
        <f t="shared" si="146"/>
        <v>918.5018110588318</v>
      </c>
      <c r="BI107" s="1">
        <f t="shared" si="147"/>
        <v>328.82364835906174</v>
      </c>
      <c r="BJ107" s="1">
        <f t="shared" si="148"/>
        <v>2952.9833225541443</v>
      </c>
      <c r="BL107" s="2">
        <v>0</v>
      </c>
      <c r="BM107" s="2">
        <v>0</v>
      </c>
      <c r="BO107" s="1">
        <f t="shared" si="121"/>
        <v>2101.0728927970777</v>
      </c>
      <c r="BP107" s="1">
        <f t="shared" si="122"/>
        <v>1228.2031702134595</v>
      </c>
      <c r="BQ107" s="1">
        <f t="shared" si="123"/>
        <v>2900.321021217086</v>
      </c>
      <c r="BR107" s="1">
        <f t="shared" si="124"/>
        <v>665.9138130176531</v>
      </c>
      <c r="BS107" s="1">
        <f t="shared" si="125"/>
        <v>0</v>
      </c>
      <c r="BT107" s="1">
        <f t="shared" si="126"/>
        <v>1594.9301735585807</v>
      </c>
      <c r="BU107" s="1">
        <f t="shared" si="127"/>
        <v>2066.6290748823717</v>
      </c>
      <c r="BV107" s="1">
        <f t="shared" si="128"/>
        <v>996.1152140933032</v>
      </c>
      <c r="BW107" s="1">
        <f t="shared" si="129"/>
        <v>4228.323087209332</v>
      </c>
      <c r="BX107" s="1">
        <f t="shared" si="130"/>
        <v>918.5018110588318</v>
      </c>
      <c r="BY107" s="1">
        <f t="shared" si="131"/>
        <v>328.82364835906174</v>
      </c>
      <c r="BZ107" s="1">
        <f t="shared" si="132"/>
        <v>2952.9833225541443</v>
      </c>
      <c r="CA107" s="1">
        <f t="shared" si="133"/>
        <v>11481.272638235398</v>
      </c>
      <c r="CB107" s="1">
        <f t="shared" si="134"/>
        <v>7986.972270076798</v>
      </c>
      <c r="CC107" s="1">
        <f t="shared" si="135"/>
        <v>32946.26061406679</v>
      </c>
      <c r="CD107" s="1">
        <f t="shared" si="86"/>
        <v>99837.15337595997</v>
      </c>
      <c r="CE107" s="1">
        <f t="shared" si="87"/>
        <v>49918.576687979985</v>
      </c>
      <c r="CF107" s="1">
        <f t="shared" si="88"/>
        <v>231440.67373517994</v>
      </c>
      <c r="CG107" t="s">
        <v>107</v>
      </c>
      <c r="CH107" s="6" t="s">
        <v>169</v>
      </c>
      <c r="CI107" s="1">
        <v>868231</v>
      </c>
      <c r="CJ107" s="102">
        <v>5.408532</v>
      </c>
      <c r="CK107" s="1">
        <v>210.8322</v>
      </c>
      <c r="CL107" s="1">
        <f t="shared" si="136"/>
        <v>216.240732</v>
      </c>
      <c r="CM107" s="1">
        <v>5.56212777280967</v>
      </c>
      <c r="CN107" s="1">
        <v>203.507060493157</v>
      </c>
      <c r="CO107" s="1">
        <f t="shared" si="137"/>
        <v>209.0691882659667</v>
      </c>
      <c r="CP107" s="1">
        <f t="shared" si="89"/>
        <v>68.90920445246262</v>
      </c>
      <c r="CQ107" s="1">
        <f t="shared" si="90"/>
        <v>36.48257335241119</v>
      </c>
      <c r="CR107" s="1">
        <f t="shared" si="91"/>
        <v>95.25192217397442</v>
      </c>
      <c r="CS107" s="1">
        <f t="shared" si="92"/>
        <v>44.44810942534452</v>
      </c>
      <c r="CT107" s="1">
        <f t="shared" si="93"/>
        <v>6.3138894856321945</v>
      </c>
      <c r="CU107" s="1">
        <f t="shared" si="94"/>
        <v>75.43216312636078</v>
      </c>
    </row>
    <row r="108" spans="1:99" ht="12.75">
      <c r="A108" t="s">
        <v>108</v>
      </c>
      <c r="B108" s="1">
        <v>420630</v>
      </c>
      <c r="C108" s="6" t="s">
        <v>96</v>
      </c>
      <c r="D108" s="107">
        <v>5.3</v>
      </c>
      <c r="E108" s="113">
        <v>15</v>
      </c>
      <c r="F108" s="107">
        <v>74.4</v>
      </c>
      <c r="G108" s="107">
        <v>0.3</v>
      </c>
      <c r="H108" s="107">
        <v>14.7</v>
      </c>
      <c r="I108" s="1">
        <f t="shared" si="95"/>
        <v>22293.39</v>
      </c>
      <c r="J108" s="1">
        <f t="shared" si="96"/>
        <v>63094.5</v>
      </c>
      <c r="K108" s="1">
        <f t="shared" si="97"/>
        <v>312948.72000000003</v>
      </c>
      <c r="L108" s="1">
        <f t="shared" si="98"/>
        <v>1261.89</v>
      </c>
      <c r="M108" s="1">
        <f t="shared" si="99"/>
        <v>61832.61</v>
      </c>
      <c r="N108" s="12">
        <f t="shared" si="138"/>
        <v>-0.13272000000000003</v>
      </c>
      <c r="O108" s="12">
        <f t="shared" si="139"/>
        <v>0.02476</v>
      </c>
      <c r="P108" s="12">
        <f t="shared" si="140"/>
        <v>0.06549000000000005</v>
      </c>
      <c r="Q108" s="12">
        <f t="shared" si="141"/>
        <v>-0.4150400000000001</v>
      </c>
      <c r="R108" s="12">
        <f t="shared" si="142"/>
        <v>0.020987999999999996</v>
      </c>
      <c r="S108" s="1">
        <f t="shared" si="100"/>
        <v>52143.46525079999</v>
      </c>
      <c r="T108" s="2">
        <f t="shared" si="101"/>
        <v>0.12396515999999998</v>
      </c>
      <c r="U108" s="1">
        <f t="shared" si="102"/>
        <v>5996.498503841999</v>
      </c>
      <c r="V108" s="1">
        <f t="shared" si="103"/>
        <v>1660.039359724469</v>
      </c>
      <c r="W108" s="1">
        <f t="shared" si="104"/>
        <v>830.0196798622345</v>
      </c>
      <c r="X108" s="1">
        <f t="shared" si="105"/>
        <v>3848.2730611794505</v>
      </c>
      <c r="Y108" s="1">
        <f t="shared" si="106"/>
        <v>517.2631752879358</v>
      </c>
      <c r="Z108" s="1">
        <f t="shared" si="107"/>
        <v>258.6315876439679</v>
      </c>
      <c r="AA108" s="1">
        <f t="shared" si="108"/>
        <v>1199.1100881674874</v>
      </c>
      <c r="AB108" s="1">
        <f t="shared" si="109"/>
        <v>13483.22804421132</v>
      </c>
      <c r="AC108" s="1">
        <f t="shared" si="110"/>
        <v>6741.61402210566</v>
      </c>
      <c r="AD108" s="1">
        <f t="shared" si="111"/>
        <v>31256.57410248988</v>
      </c>
      <c r="AE108" s="1">
        <f t="shared" si="112"/>
        <v>7980.537542118143</v>
      </c>
      <c r="AF108" s="1">
        <f t="shared" si="113"/>
        <v>3990.2687710590717</v>
      </c>
      <c r="AG108" s="1">
        <f t="shared" si="114"/>
        <v>18500.337029455695</v>
      </c>
      <c r="AH108"/>
      <c r="AI108"/>
      <c r="AJ108"/>
      <c r="AK108"/>
      <c r="AL108"/>
      <c r="AM108"/>
      <c r="AN108"/>
      <c r="AP108" t="s">
        <v>108</v>
      </c>
      <c r="AQ108" s="6" t="s">
        <v>169</v>
      </c>
      <c r="AR108" s="1">
        <v>420630</v>
      </c>
      <c r="AS108" s="1">
        <v>52143.46525079999</v>
      </c>
      <c r="AT108" s="1">
        <v>26071.732625399996</v>
      </c>
      <c r="AU108" s="1">
        <v>120878.03308139999</v>
      </c>
      <c r="AV108" s="1">
        <v>5996.498503841999</v>
      </c>
      <c r="AW108" s="1">
        <v>4171.477220063999</v>
      </c>
      <c r="AX108" s="1">
        <v>17207.343532764</v>
      </c>
      <c r="AY108" s="1">
        <f t="shared" si="115"/>
        <v>1097.3592262030859</v>
      </c>
      <c r="AZ108" s="1">
        <f t="shared" si="116"/>
        <v>641.4723092692758</v>
      </c>
      <c r="BA108" s="1">
        <f t="shared" si="117"/>
        <v>1514.7946758507398</v>
      </c>
      <c r="BB108" s="1">
        <f t="shared" si="118"/>
        <v>347.79691322283594</v>
      </c>
      <c r="BC108" s="1">
        <f t="shared" si="119"/>
        <v>0</v>
      </c>
      <c r="BD108" s="1">
        <f t="shared" si="120"/>
        <v>833.0083868600143</v>
      </c>
      <c r="BE108" s="1">
        <f t="shared" si="143"/>
        <v>1079.3697306915599</v>
      </c>
      <c r="BF108" s="1">
        <f t="shared" si="144"/>
        <v>520.2562101933319</v>
      </c>
      <c r="BG108" s="1">
        <f t="shared" si="145"/>
        <v>2208.3904689949313</v>
      </c>
      <c r="BH108" s="1">
        <f t="shared" si="146"/>
        <v>479.7198803073599</v>
      </c>
      <c r="BI108" s="1">
        <f t="shared" si="147"/>
        <v>171.73971715003483</v>
      </c>
      <c r="BJ108" s="1">
        <f t="shared" si="148"/>
        <v>1542.2994151881621</v>
      </c>
      <c r="BL108" s="2">
        <v>0.94</v>
      </c>
      <c r="BM108" s="2">
        <v>0.94</v>
      </c>
      <c r="BO108" s="1">
        <f t="shared" si="121"/>
        <v>499.0789760771635</v>
      </c>
      <c r="BP108" s="1">
        <f t="shared" si="122"/>
        <v>291.7416062556667</v>
      </c>
      <c r="BQ108" s="1">
        <f t="shared" si="123"/>
        <v>688.9286185769166</v>
      </c>
      <c r="BR108" s="1">
        <f t="shared" si="124"/>
        <v>86.25363447926333</v>
      </c>
      <c r="BS108" s="1">
        <f t="shared" si="125"/>
        <v>0</v>
      </c>
      <c r="BT108" s="1">
        <f t="shared" si="126"/>
        <v>206.58607994128351</v>
      </c>
      <c r="BU108" s="1">
        <f t="shared" si="127"/>
        <v>1079.3697306915599</v>
      </c>
      <c r="BV108" s="1">
        <f t="shared" si="128"/>
        <v>520.2562101933319</v>
      </c>
      <c r="BW108" s="1">
        <f t="shared" si="129"/>
        <v>2208.3904689949313</v>
      </c>
      <c r="BX108" s="1">
        <f t="shared" si="130"/>
        <v>479.7198803073599</v>
      </c>
      <c r="BY108" s="1">
        <f t="shared" si="131"/>
        <v>171.73971715003483</v>
      </c>
      <c r="BZ108" s="1">
        <f t="shared" si="132"/>
        <v>1542.2994151881621</v>
      </c>
      <c r="CA108" s="1">
        <f t="shared" si="133"/>
        <v>5136.674974972504</v>
      </c>
      <c r="CB108" s="1">
        <f t="shared" si="134"/>
        <v>3821.74651705039</v>
      </c>
      <c r="CC108" s="1">
        <f t="shared" si="135"/>
        <v>15755.055168571447</v>
      </c>
      <c r="CD108" s="1">
        <f t="shared" si="86"/>
        <v>46751.83094386727</v>
      </c>
      <c r="CE108" s="1">
        <f t="shared" si="87"/>
        <v>23375.915471933637</v>
      </c>
      <c r="CF108" s="1">
        <f t="shared" si="88"/>
        <v>108379.24446078323</v>
      </c>
      <c r="CG108" t="s">
        <v>108</v>
      </c>
      <c r="CH108" s="6" t="s">
        <v>169</v>
      </c>
      <c r="CI108" s="1">
        <v>420630</v>
      </c>
      <c r="CJ108" s="102">
        <v>0.5812732</v>
      </c>
      <c r="CK108" s="1">
        <v>13.04033</v>
      </c>
      <c r="CL108" s="1">
        <f t="shared" si="136"/>
        <v>13.621603200000001</v>
      </c>
      <c r="CM108" s="1">
        <v>0.564534966492147</v>
      </c>
      <c r="CN108" s="1">
        <v>13.7468469144831</v>
      </c>
      <c r="CO108" s="1">
        <f t="shared" si="137"/>
        <v>14.311381880975247</v>
      </c>
      <c r="CP108" s="1">
        <f t="shared" si="89"/>
        <v>2.615263284023981</v>
      </c>
      <c r="CQ108" s="1">
        <f t="shared" si="90"/>
        <v>1.2552054595549493</v>
      </c>
      <c r="CR108" s="1">
        <f t="shared" si="91"/>
        <v>3.9454359279486813</v>
      </c>
      <c r="CS108" s="1">
        <f t="shared" si="92"/>
        <v>0.8981579253440012</v>
      </c>
      <c r="CT108" s="1">
        <f t="shared" si="93"/>
        <v>0.10967734204452007</v>
      </c>
      <c r="CU108" s="1">
        <f t="shared" si="94"/>
        <v>1.757372734664093</v>
      </c>
    </row>
    <row r="109" spans="1:99" ht="12.75">
      <c r="A109" t="s">
        <v>109</v>
      </c>
      <c r="B109" s="1">
        <v>5545968</v>
      </c>
      <c r="C109" s="7" t="s">
        <v>110</v>
      </c>
      <c r="D109" s="113">
        <v>33</v>
      </c>
      <c r="E109" s="113">
        <v>20</v>
      </c>
      <c r="F109" s="113">
        <v>73.8</v>
      </c>
      <c r="G109" s="113">
        <v>86</v>
      </c>
      <c r="H109" s="113">
        <v>37.8</v>
      </c>
      <c r="I109" s="1">
        <f t="shared" si="95"/>
        <v>1830169.44</v>
      </c>
      <c r="J109" s="1">
        <f t="shared" si="96"/>
        <v>1109193.6</v>
      </c>
      <c r="K109" s="1">
        <f t="shared" si="97"/>
        <v>4092924.3839999996</v>
      </c>
      <c r="L109" s="1">
        <f t="shared" si="98"/>
        <v>4769532.48</v>
      </c>
      <c r="M109" s="1">
        <f t="shared" si="99"/>
        <v>2096375.9039999999</v>
      </c>
      <c r="N109" s="12">
        <f t="shared" si="138"/>
        <v>0.08888000000000001</v>
      </c>
      <c r="O109" s="12">
        <f t="shared" si="139"/>
        <v>0.04476000000000001</v>
      </c>
      <c r="P109" s="12">
        <f t="shared" si="140"/>
        <v>0.06369000000000001</v>
      </c>
      <c r="Q109" s="12">
        <f t="shared" si="141"/>
        <v>0.27055999999999997</v>
      </c>
      <c r="R109" s="12">
        <f t="shared" si="142"/>
        <v>0.24967799999999998</v>
      </c>
      <c r="S109" s="1">
        <f t="shared" si="100"/>
        <v>2095626.9764812798</v>
      </c>
      <c r="T109" s="2">
        <f t="shared" si="101"/>
        <v>0.37786495999999997</v>
      </c>
      <c r="U109" s="1">
        <f t="shared" si="102"/>
        <v>240997.1022953472</v>
      </c>
      <c r="V109" s="1">
        <f t="shared" si="103"/>
        <v>146693.8883536896</v>
      </c>
      <c r="W109" s="1">
        <f t="shared" si="104"/>
        <v>73346.9441768448</v>
      </c>
      <c r="X109" s="1">
        <f t="shared" si="105"/>
        <v>340063.1048199168</v>
      </c>
      <c r="Y109" s="1">
        <f t="shared" si="106"/>
        <v>39565.437315966556</v>
      </c>
      <c r="Z109" s="1">
        <f t="shared" si="107"/>
        <v>19782.718657983278</v>
      </c>
      <c r="AA109" s="1">
        <f t="shared" si="108"/>
        <v>91719.87741428612</v>
      </c>
      <c r="AB109" s="1">
        <f t="shared" si="109"/>
        <v>588423.219168747</v>
      </c>
      <c r="AC109" s="1">
        <f t="shared" si="110"/>
        <v>294211.6095843735</v>
      </c>
      <c r="AD109" s="1">
        <f t="shared" si="111"/>
        <v>1364072.0080730042</v>
      </c>
      <c r="AE109" s="1">
        <f t="shared" si="112"/>
        <v>348279.62382838107</v>
      </c>
      <c r="AF109" s="1">
        <f t="shared" si="113"/>
        <v>174139.81191419053</v>
      </c>
      <c r="AG109" s="1">
        <f t="shared" si="114"/>
        <v>807375.4916021561</v>
      </c>
      <c r="AH109"/>
      <c r="AI109"/>
      <c r="AJ109"/>
      <c r="AK109"/>
      <c r="AL109"/>
      <c r="AM109"/>
      <c r="AN109"/>
      <c r="AP109" t="s">
        <v>109</v>
      </c>
      <c r="AQ109" s="7" t="s">
        <v>158</v>
      </c>
      <c r="AR109" s="1">
        <v>5545968</v>
      </c>
      <c r="AS109" s="1">
        <v>2095626.9764812798</v>
      </c>
      <c r="AT109" s="1">
        <v>1047813.4882406399</v>
      </c>
      <c r="AU109" s="1">
        <v>4858044.35457024</v>
      </c>
      <c r="AV109" s="1">
        <v>240997.1022953472</v>
      </c>
      <c r="AW109" s="1">
        <v>167650.15811850238</v>
      </c>
      <c r="AX109" s="1">
        <v>691556.9022388224</v>
      </c>
      <c r="AY109" s="1">
        <f t="shared" si="115"/>
        <v>44102.46972004854</v>
      </c>
      <c r="AZ109" s="1">
        <f t="shared" si="116"/>
        <v>25780.539699551573</v>
      </c>
      <c r="BA109" s="1">
        <f t="shared" si="117"/>
        <v>60879.049201555004</v>
      </c>
      <c r="BB109" s="1">
        <f t="shared" si="118"/>
        <v>13977.831933130139</v>
      </c>
      <c r="BC109" s="1">
        <f t="shared" si="119"/>
        <v>0</v>
      </c>
      <c r="BD109" s="1">
        <f t="shared" si="120"/>
        <v>33478.30526303999</v>
      </c>
      <c r="BE109" s="1">
        <f t="shared" si="143"/>
        <v>43379.47841316249</v>
      </c>
      <c r="BF109" s="1">
        <f t="shared" si="144"/>
        <v>20908.90859514432</v>
      </c>
      <c r="BG109" s="1">
        <f t="shared" si="145"/>
        <v>88754.41283333045</v>
      </c>
      <c r="BH109" s="1">
        <f t="shared" si="146"/>
        <v>19279.768183627777</v>
      </c>
      <c r="BI109" s="1">
        <f t="shared" si="147"/>
        <v>6902.157009738744</v>
      </c>
      <c r="BJ109" s="1">
        <f t="shared" si="148"/>
        <v>61984.4547103633</v>
      </c>
      <c r="BL109" s="2">
        <v>0.66</v>
      </c>
      <c r="BM109" s="2">
        <v>0</v>
      </c>
      <c r="BO109" s="1">
        <f t="shared" si="121"/>
        <v>44102.46972004854</v>
      </c>
      <c r="BP109" s="1">
        <f t="shared" si="122"/>
        <v>25780.539699551573</v>
      </c>
      <c r="BQ109" s="1">
        <f t="shared" si="123"/>
        <v>60879.049201555004</v>
      </c>
      <c r="BR109" s="1">
        <f t="shared" si="124"/>
        <v>6597.536672437425</v>
      </c>
      <c r="BS109" s="1">
        <f t="shared" si="125"/>
        <v>0</v>
      </c>
      <c r="BT109" s="1">
        <f t="shared" si="126"/>
        <v>15801.760084154874</v>
      </c>
      <c r="BU109" s="1">
        <f t="shared" si="127"/>
        <v>43379.47841316249</v>
      </c>
      <c r="BV109" s="1">
        <f t="shared" si="128"/>
        <v>20908.90859514432</v>
      </c>
      <c r="BW109" s="1">
        <f t="shared" si="129"/>
        <v>88754.41283333045</v>
      </c>
      <c r="BX109" s="1">
        <f t="shared" si="130"/>
        <v>19279.768183627777</v>
      </c>
      <c r="BY109" s="1">
        <f t="shared" si="131"/>
        <v>6902.157009738744</v>
      </c>
      <c r="BZ109" s="1">
        <f t="shared" si="132"/>
        <v>61984.4547103633</v>
      </c>
      <c r="CA109" s="1">
        <f t="shared" si="133"/>
        <v>233616.80703465448</v>
      </c>
      <c r="CB109" s="1">
        <f t="shared" si="134"/>
        <v>167650.15811850238</v>
      </c>
      <c r="CC109" s="1">
        <f t="shared" si="135"/>
        <v>673880.3570599373</v>
      </c>
      <c r="CD109" s="1">
        <f t="shared" si="86"/>
        <v>2040302.424302174</v>
      </c>
      <c r="CE109" s="1">
        <f t="shared" si="87"/>
        <v>1020151.212151087</v>
      </c>
      <c r="CF109" s="1">
        <f t="shared" si="88"/>
        <v>4729791.983609585</v>
      </c>
      <c r="CG109" t="s">
        <v>109</v>
      </c>
      <c r="CH109" s="7" t="s">
        <v>158</v>
      </c>
      <c r="CI109" s="1">
        <v>5545968</v>
      </c>
      <c r="CJ109" s="102">
        <v>9164.003</v>
      </c>
      <c r="CK109" s="1">
        <v>39236.95</v>
      </c>
      <c r="CL109" s="1">
        <f t="shared" si="136"/>
        <v>48400.952999999994</v>
      </c>
      <c r="CM109" s="1">
        <v>7574.44427144896</v>
      </c>
      <c r="CN109" s="1">
        <v>23338.5254047997</v>
      </c>
      <c r="CO109" s="1">
        <f t="shared" si="137"/>
        <v>30912.96967624866</v>
      </c>
      <c r="CP109" s="1">
        <f t="shared" si="89"/>
        <v>10188.914805291559</v>
      </c>
      <c r="CQ109" s="1">
        <f t="shared" si="90"/>
        <v>5394.313208505391</v>
      </c>
      <c r="CR109" s="1">
        <f t="shared" si="91"/>
        <v>14083.94898449889</v>
      </c>
      <c r="CS109" s="1">
        <f t="shared" si="92"/>
        <v>3494.2717371527156</v>
      </c>
      <c r="CT109" s="1">
        <f t="shared" si="93"/>
        <v>447.78605222751804</v>
      </c>
      <c r="CU109" s="1">
        <f t="shared" si="94"/>
        <v>6503.2985208824875</v>
      </c>
    </row>
    <row r="110" spans="1:99" ht="12.75">
      <c r="A110" t="s">
        <v>111</v>
      </c>
      <c r="B110" s="1">
        <v>113169</v>
      </c>
      <c r="C110" s="7" t="s">
        <v>110</v>
      </c>
      <c r="D110" s="113">
        <v>23</v>
      </c>
      <c r="E110" s="113">
        <v>10</v>
      </c>
      <c r="F110" s="113">
        <v>99</v>
      </c>
      <c r="G110" s="113">
        <v>13</v>
      </c>
      <c r="H110" s="107">
        <v>32.6</v>
      </c>
      <c r="I110" s="1">
        <f t="shared" si="95"/>
        <v>26028.87</v>
      </c>
      <c r="J110" s="1">
        <f t="shared" si="96"/>
        <v>11316.9</v>
      </c>
      <c r="K110" s="1">
        <f t="shared" si="97"/>
        <v>112037.31</v>
      </c>
      <c r="L110" s="1">
        <f t="shared" si="98"/>
        <v>14711.97</v>
      </c>
      <c r="M110" s="1">
        <f t="shared" si="99"/>
        <v>36893.094000000005</v>
      </c>
      <c r="N110" s="12">
        <f t="shared" si="138"/>
        <v>0.008879999999999999</v>
      </c>
      <c r="O110" s="12">
        <f t="shared" si="139"/>
        <v>0.004760000000000004</v>
      </c>
      <c r="P110" s="12">
        <f t="shared" si="140"/>
        <v>0.13929</v>
      </c>
      <c r="Q110" s="12">
        <f t="shared" si="141"/>
        <v>-0.31344000000000005</v>
      </c>
      <c r="R110" s="12">
        <f t="shared" si="142"/>
        <v>0.198198</v>
      </c>
      <c r="S110" s="1">
        <f t="shared" si="100"/>
        <v>25835.50491984</v>
      </c>
      <c r="T110" s="2">
        <f t="shared" si="101"/>
        <v>0.22829136</v>
      </c>
      <c r="U110" s="1">
        <f t="shared" si="102"/>
        <v>2971.0830657816005</v>
      </c>
      <c r="V110" s="1">
        <f t="shared" si="103"/>
        <v>1808.4853443888003</v>
      </c>
      <c r="W110" s="1">
        <f t="shared" si="104"/>
        <v>904.2426721944001</v>
      </c>
      <c r="X110" s="1">
        <f t="shared" si="105"/>
        <v>4192.3978438104</v>
      </c>
      <c r="Y110" s="1">
        <f t="shared" si="106"/>
        <v>305.8923782509055</v>
      </c>
      <c r="Z110" s="1">
        <f t="shared" si="107"/>
        <v>152.94618912545275</v>
      </c>
      <c r="AA110" s="1">
        <f t="shared" si="108"/>
        <v>709.1141495816446</v>
      </c>
      <c r="AB110" s="1">
        <f t="shared" si="109"/>
        <v>7188.685840297214</v>
      </c>
      <c r="AC110" s="1">
        <f t="shared" si="110"/>
        <v>3594.342920148607</v>
      </c>
      <c r="AD110" s="1">
        <f t="shared" si="111"/>
        <v>16664.68081159809</v>
      </c>
      <c r="AE110" s="1">
        <f t="shared" si="112"/>
        <v>4254.8844415351405</v>
      </c>
      <c r="AF110" s="1">
        <f t="shared" si="113"/>
        <v>2127.4422207675702</v>
      </c>
      <c r="AG110" s="1">
        <f t="shared" si="114"/>
        <v>9863.595750831462</v>
      </c>
      <c r="AH110"/>
      <c r="AI110"/>
      <c r="AJ110"/>
      <c r="AK110"/>
      <c r="AL110"/>
      <c r="AM110"/>
      <c r="AN110"/>
      <c r="AP110" t="s">
        <v>111</v>
      </c>
      <c r="AQ110" s="7" t="s">
        <v>158</v>
      </c>
      <c r="AR110" s="1">
        <v>113169</v>
      </c>
      <c r="AS110" s="1">
        <v>25835.50491984</v>
      </c>
      <c r="AT110" s="1">
        <v>12917.75245992</v>
      </c>
      <c r="AU110" s="1">
        <v>59891.39776872</v>
      </c>
      <c r="AV110" s="1">
        <v>2971.0830657816005</v>
      </c>
      <c r="AW110" s="1">
        <v>2066.8403935872</v>
      </c>
      <c r="AX110" s="1">
        <v>8525.716623547201</v>
      </c>
      <c r="AY110" s="1">
        <f t="shared" si="115"/>
        <v>543.7082010380328</v>
      </c>
      <c r="AZ110" s="1">
        <f t="shared" si="116"/>
        <v>317.83006599879246</v>
      </c>
      <c r="BA110" s="1">
        <f t="shared" si="117"/>
        <v>750.5348007129005</v>
      </c>
      <c r="BB110" s="1">
        <f t="shared" si="118"/>
        <v>172.32281781533283</v>
      </c>
      <c r="BC110" s="1">
        <f t="shared" si="119"/>
        <v>0</v>
      </c>
      <c r="BD110" s="1">
        <f t="shared" si="120"/>
        <v>412.7303809495036</v>
      </c>
      <c r="BE110" s="1">
        <f t="shared" si="143"/>
        <v>534.7949518406881</v>
      </c>
      <c r="BF110" s="1">
        <f t="shared" si="144"/>
        <v>257.77116678721165</v>
      </c>
      <c r="BG110" s="1">
        <f t="shared" si="145"/>
        <v>1094.1904714660477</v>
      </c>
      <c r="BH110" s="1">
        <f t="shared" si="146"/>
        <v>237.68664526252803</v>
      </c>
      <c r="BI110" s="1">
        <f t="shared" si="147"/>
        <v>85.09181900398504</v>
      </c>
      <c r="BJ110" s="1">
        <f t="shared" si="148"/>
        <v>764.1625645190276</v>
      </c>
      <c r="BL110" s="2">
        <v>0.88</v>
      </c>
      <c r="BM110" s="2">
        <v>0</v>
      </c>
      <c r="BO110" s="1">
        <f t="shared" si="121"/>
        <v>543.7082010380328</v>
      </c>
      <c r="BP110" s="1">
        <f t="shared" si="122"/>
        <v>317.83006599879246</v>
      </c>
      <c r="BQ110" s="1">
        <f t="shared" si="123"/>
        <v>750.5348007129005</v>
      </c>
      <c r="BR110" s="1">
        <f t="shared" si="124"/>
        <v>51.0075540733385</v>
      </c>
      <c r="BS110" s="1">
        <f t="shared" si="125"/>
        <v>0</v>
      </c>
      <c r="BT110" s="1">
        <f t="shared" si="126"/>
        <v>122.16819276105309</v>
      </c>
      <c r="BU110" s="1">
        <f t="shared" si="127"/>
        <v>534.7949518406881</v>
      </c>
      <c r="BV110" s="1">
        <f t="shared" si="128"/>
        <v>257.77116678721165</v>
      </c>
      <c r="BW110" s="1">
        <f t="shared" si="129"/>
        <v>1094.1904714660477</v>
      </c>
      <c r="BX110" s="1">
        <f t="shared" si="130"/>
        <v>237.68664526252803</v>
      </c>
      <c r="BY110" s="1">
        <f t="shared" si="131"/>
        <v>85.09181900398504</v>
      </c>
      <c r="BZ110" s="1">
        <f t="shared" si="132"/>
        <v>764.1625645190276</v>
      </c>
      <c r="CA110" s="1">
        <f t="shared" si="133"/>
        <v>2849.767802039606</v>
      </c>
      <c r="CB110" s="1">
        <f t="shared" si="134"/>
        <v>2066.8403935872</v>
      </c>
      <c r="CC110" s="1">
        <f t="shared" si="135"/>
        <v>8235.15443535875</v>
      </c>
      <c r="CD110" s="1">
        <f t="shared" si="86"/>
        <v>24926.09514666163</v>
      </c>
      <c r="CE110" s="1">
        <f t="shared" si="87"/>
        <v>12463.047573330816</v>
      </c>
      <c r="CF110" s="1">
        <f t="shared" si="88"/>
        <v>57783.22056726106</v>
      </c>
      <c r="CG110" t="s">
        <v>111</v>
      </c>
      <c r="CH110" s="7" t="s">
        <v>158</v>
      </c>
      <c r="CI110" s="1">
        <v>113169</v>
      </c>
      <c r="CJ110" s="102">
        <v>180.3568</v>
      </c>
      <c r="CK110" s="1">
        <v>264.2642</v>
      </c>
      <c r="CL110" s="1">
        <f t="shared" si="136"/>
        <v>444.621</v>
      </c>
      <c r="CM110" s="1">
        <v>178.068536101499</v>
      </c>
      <c r="CN110" s="1">
        <v>267.962545127143</v>
      </c>
      <c r="CO110" s="1">
        <f t="shared" si="137"/>
        <v>446.03108122864205</v>
      </c>
      <c r="CP110" s="1">
        <f t="shared" si="89"/>
        <v>147.0118443729604</v>
      </c>
      <c r="CQ110" s="1">
        <f t="shared" si="90"/>
        <v>77.83242367439803</v>
      </c>
      <c r="CR110" s="1">
        <f t="shared" si="91"/>
        <v>203.21176060776932</v>
      </c>
      <c r="CS110" s="1">
        <f t="shared" si="92"/>
        <v>33.00903264955842</v>
      </c>
      <c r="CT110" s="1">
        <f t="shared" si="93"/>
        <v>4.073772708111697</v>
      </c>
      <c r="CU110" s="1">
        <f t="shared" si="94"/>
        <v>63.85374866991256</v>
      </c>
    </row>
    <row r="111" spans="1:99" ht="12.75">
      <c r="A111" t="s">
        <v>112</v>
      </c>
      <c r="B111" s="1">
        <v>9008118</v>
      </c>
      <c r="C111" s="7" t="s">
        <v>110</v>
      </c>
      <c r="D111" s="113">
        <v>5.9</v>
      </c>
      <c r="E111" s="29">
        <v>5.1</v>
      </c>
      <c r="F111" s="29">
        <v>33.4</v>
      </c>
      <c r="G111" s="120">
        <v>0.3</v>
      </c>
      <c r="H111" s="120">
        <v>8.4</v>
      </c>
      <c r="I111" s="1">
        <f t="shared" si="95"/>
        <v>531478.962</v>
      </c>
      <c r="J111" s="1">
        <f t="shared" si="96"/>
        <v>459414.018</v>
      </c>
      <c r="K111" s="1">
        <f t="shared" si="97"/>
        <v>3008711.412</v>
      </c>
      <c r="L111" s="1">
        <f t="shared" si="98"/>
        <v>27024.354</v>
      </c>
      <c r="M111" s="1">
        <f t="shared" si="99"/>
        <v>756681.912</v>
      </c>
      <c r="N111" s="12">
        <f t="shared" si="138"/>
        <v>-0.12792</v>
      </c>
      <c r="O111" s="12">
        <f t="shared" si="139"/>
        <v>-0.01484</v>
      </c>
      <c r="P111" s="12">
        <f t="shared" si="140"/>
        <v>-0.05750999999999999</v>
      </c>
      <c r="Q111" s="12">
        <f t="shared" si="141"/>
        <v>-0.4150400000000001</v>
      </c>
      <c r="R111" s="12">
        <f t="shared" si="142"/>
        <v>-0.04138199999999999</v>
      </c>
      <c r="S111" s="1">
        <f t="shared" si="100"/>
        <v>680362.9743556799</v>
      </c>
      <c r="T111" s="2">
        <f t="shared" si="101"/>
        <v>0.07552776</v>
      </c>
      <c r="U111" s="1">
        <f t="shared" si="102"/>
        <v>78241.7420509032</v>
      </c>
      <c r="V111" s="1">
        <f t="shared" si="103"/>
        <v>47625.4082048976</v>
      </c>
      <c r="W111" s="1">
        <f t="shared" si="104"/>
        <v>23812.7041024488</v>
      </c>
      <c r="X111" s="1">
        <f t="shared" si="105"/>
        <v>110404.35538408082</v>
      </c>
      <c r="Y111" s="1">
        <f t="shared" si="106"/>
        <v>27214.518974227198</v>
      </c>
      <c r="Z111" s="1">
        <f t="shared" si="107"/>
        <v>13607.259487113599</v>
      </c>
      <c r="AA111" s="1">
        <f t="shared" si="108"/>
        <v>63088.20307661761</v>
      </c>
      <c r="AB111" s="1">
        <f t="shared" si="109"/>
        <v>196216.68180417808</v>
      </c>
      <c r="AC111" s="1">
        <f t="shared" si="110"/>
        <v>98108.34090208904</v>
      </c>
      <c r="AD111" s="1">
        <f t="shared" si="111"/>
        <v>454865.94418241293</v>
      </c>
      <c r="AE111" s="1">
        <f t="shared" si="112"/>
        <v>116137.95972251456</v>
      </c>
      <c r="AF111" s="1">
        <f t="shared" si="113"/>
        <v>58068.97986125728</v>
      </c>
      <c r="AG111" s="1">
        <f t="shared" si="114"/>
        <v>269228.90662946564</v>
      </c>
      <c r="AH111"/>
      <c r="AI111"/>
      <c r="AJ111"/>
      <c r="AK111"/>
      <c r="AL111"/>
      <c r="AM111"/>
      <c r="AN111"/>
      <c r="AP111" t="s">
        <v>112</v>
      </c>
      <c r="AQ111" s="7" t="s">
        <v>158</v>
      </c>
      <c r="AR111" s="1">
        <v>9008118</v>
      </c>
      <c r="AS111" s="1">
        <v>680362.9743556799</v>
      </c>
      <c r="AT111" s="1">
        <v>340181.48717783997</v>
      </c>
      <c r="AU111" s="1">
        <v>1577205.0769154401</v>
      </c>
      <c r="AV111" s="1">
        <v>78241.7420509032</v>
      </c>
      <c r="AW111" s="1">
        <v>54429.037948454396</v>
      </c>
      <c r="AX111" s="1">
        <v>224519.7815373744</v>
      </c>
      <c r="AY111" s="1">
        <f t="shared" si="115"/>
        <v>14318.238795315285</v>
      </c>
      <c r="AZ111" s="1">
        <f t="shared" si="116"/>
        <v>8369.869670189502</v>
      </c>
      <c r="BA111" s="1">
        <f t="shared" si="117"/>
        <v>19764.89683305322</v>
      </c>
      <c r="BB111" s="1">
        <f t="shared" si="118"/>
        <v>4538.021038952385</v>
      </c>
      <c r="BC111" s="1">
        <f t="shared" si="119"/>
        <v>0</v>
      </c>
      <c r="BD111" s="1">
        <f t="shared" si="120"/>
        <v>10869.014190394857</v>
      </c>
      <c r="BE111" s="1">
        <f t="shared" si="143"/>
        <v>14083.513569162575</v>
      </c>
      <c r="BF111" s="1">
        <f t="shared" si="144"/>
        <v>6788.253540336361</v>
      </c>
      <c r="BG111" s="1">
        <f t="shared" si="145"/>
        <v>28814.868762506627</v>
      </c>
      <c r="BH111" s="1">
        <f t="shared" si="146"/>
        <v>6259.339364072256</v>
      </c>
      <c r="BI111" s="1">
        <f t="shared" si="147"/>
        <v>2240.8434923378677</v>
      </c>
      <c r="BJ111" s="1">
        <f t="shared" si="148"/>
        <v>20123.776055492304</v>
      </c>
      <c r="BL111" s="2">
        <v>0</v>
      </c>
      <c r="BM111" s="2">
        <v>0</v>
      </c>
      <c r="BO111" s="1">
        <f t="shared" si="121"/>
        <v>14318.238795315285</v>
      </c>
      <c r="BP111" s="1">
        <f t="shared" si="122"/>
        <v>8369.869670189502</v>
      </c>
      <c r="BQ111" s="1">
        <f t="shared" si="123"/>
        <v>19764.89683305322</v>
      </c>
      <c r="BR111" s="1">
        <f t="shared" si="124"/>
        <v>4538.021038952385</v>
      </c>
      <c r="BS111" s="1">
        <f t="shared" si="125"/>
        <v>0</v>
      </c>
      <c r="BT111" s="1">
        <f t="shared" si="126"/>
        <v>10869.014190394857</v>
      </c>
      <c r="BU111" s="1">
        <f t="shared" si="127"/>
        <v>14083.513569162575</v>
      </c>
      <c r="BV111" s="1">
        <f t="shared" si="128"/>
        <v>6788.253540336361</v>
      </c>
      <c r="BW111" s="1">
        <f t="shared" si="129"/>
        <v>28814.868762506627</v>
      </c>
      <c r="BX111" s="1">
        <f t="shared" si="130"/>
        <v>6259.339364072256</v>
      </c>
      <c r="BY111" s="1">
        <f t="shared" si="131"/>
        <v>2240.8434923378677</v>
      </c>
      <c r="BZ111" s="1">
        <f t="shared" si="132"/>
        <v>20123.776055492304</v>
      </c>
      <c r="CA111" s="1">
        <f t="shared" si="133"/>
        <v>78241.7420509032</v>
      </c>
      <c r="CB111" s="1">
        <f t="shared" si="134"/>
        <v>54429.037948454396</v>
      </c>
      <c r="CC111" s="1">
        <f t="shared" si="135"/>
        <v>224519.7815373744</v>
      </c>
      <c r="CD111" s="1">
        <f t="shared" si="86"/>
        <v>680362.9743556799</v>
      </c>
      <c r="CE111" s="1">
        <f t="shared" si="87"/>
        <v>340181.48717783997</v>
      </c>
      <c r="CF111" s="1">
        <f t="shared" si="88"/>
        <v>1577205.0769154401</v>
      </c>
      <c r="CG111" t="s">
        <v>112</v>
      </c>
      <c r="CH111" s="7" t="s">
        <v>158</v>
      </c>
      <c r="CI111" s="1">
        <v>9008118</v>
      </c>
      <c r="CJ111" s="102">
        <v>299.4239</v>
      </c>
      <c r="CK111" s="1">
        <v>4030.115</v>
      </c>
      <c r="CL111" s="1">
        <f t="shared" si="136"/>
        <v>4329.5389</v>
      </c>
      <c r="CM111" s="1">
        <v>233.02873812591</v>
      </c>
      <c r="CN111" s="1">
        <v>4531.62070647253</v>
      </c>
      <c r="CO111" s="1">
        <f t="shared" si="137"/>
        <v>4764.649444598441</v>
      </c>
      <c r="CP111" s="1">
        <f t="shared" si="89"/>
        <v>1570.4284569396461</v>
      </c>
      <c r="CQ111" s="1">
        <f t="shared" si="90"/>
        <v>831.4313280824279</v>
      </c>
      <c r="CR111" s="1">
        <f t="shared" si="91"/>
        <v>2170.7742869590497</v>
      </c>
      <c r="CS111" s="1">
        <f t="shared" si="92"/>
        <v>1012.9644719216286</v>
      </c>
      <c r="CT111" s="1">
        <f t="shared" si="93"/>
        <v>143.89241322687292</v>
      </c>
      <c r="CU111" s="1">
        <f t="shared" si="94"/>
        <v>1719.0855196111174</v>
      </c>
    </row>
    <row r="112" spans="1:99" ht="12.75">
      <c r="A112" t="s">
        <v>113</v>
      </c>
      <c r="B112" s="1">
        <v>5188175</v>
      </c>
      <c r="C112" s="7" t="s">
        <v>110</v>
      </c>
      <c r="D112" s="113">
        <v>6</v>
      </c>
      <c r="E112" s="113">
        <v>15</v>
      </c>
      <c r="F112" s="113">
        <v>75</v>
      </c>
      <c r="G112" s="113">
        <v>4.6</v>
      </c>
      <c r="H112" s="107">
        <v>32.6</v>
      </c>
      <c r="I112" s="1">
        <f t="shared" si="95"/>
        <v>311290.5</v>
      </c>
      <c r="J112" s="1">
        <f t="shared" si="96"/>
        <v>778226.25</v>
      </c>
      <c r="K112" s="1">
        <f t="shared" si="97"/>
        <v>3891131.25</v>
      </c>
      <c r="L112" s="1">
        <f t="shared" si="98"/>
        <v>238656.05</v>
      </c>
      <c r="M112" s="1">
        <f t="shared" si="99"/>
        <v>1691345.05</v>
      </c>
      <c r="N112" s="12">
        <f t="shared" si="138"/>
        <v>-0.12712</v>
      </c>
      <c r="O112" s="12">
        <f t="shared" si="139"/>
        <v>0.02476</v>
      </c>
      <c r="P112" s="12">
        <f t="shared" si="140"/>
        <v>0.06729000000000002</v>
      </c>
      <c r="Q112" s="12">
        <f t="shared" si="141"/>
        <v>-0.3806400000000001</v>
      </c>
      <c r="R112" s="12">
        <f t="shared" si="142"/>
        <v>0.198198</v>
      </c>
      <c r="S112" s="1">
        <f t="shared" si="100"/>
        <v>893130.629468</v>
      </c>
      <c r="T112" s="2">
        <f t="shared" si="101"/>
        <v>0.17214736</v>
      </c>
      <c r="U112" s="1">
        <f t="shared" si="102"/>
        <v>102710.02238882001</v>
      </c>
      <c r="V112" s="1">
        <f t="shared" si="103"/>
        <v>62519.14406276001</v>
      </c>
      <c r="W112" s="1">
        <f t="shared" si="104"/>
        <v>31259.572031380005</v>
      </c>
      <c r="X112" s="1">
        <f t="shared" si="105"/>
        <v>144930.74305458</v>
      </c>
      <c r="Y112" s="1">
        <f t="shared" si="106"/>
        <v>35725.22517872</v>
      </c>
      <c r="Z112" s="1">
        <f t="shared" si="107"/>
        <v>17862.61258936</v>
      </c>
      <c r="AA112" s="1">
        <f t="shared" si="108"/>
        <v>82817.56745976</v>
      </c>
      <c r="AB112" s="1">
        <f t="shared" si="109"/>
        <v>257578.8735385712</v>
      </c>
      <c r="AC112" s="1">
        <f t="shared" si="110"/>
        <v>128789.4367692856</v>
      </c>
      <c r="AD112" s="1">
        <f t="shared" si="111"/>
        <v>597114.6613848696</v>
      </c>
      <c r="AE112" s="1">
        <f t="shared" si="112"/>
        <v>152457.39845018758</v>
      </c>
      <c r="AF112" s="1">
        <f t="shared" si="113"/>
        <v>76228.69922509379</v>
      </c>
      <c r="AG112" s="1">
        <f t="shared" si="114"/>
        <v>353423.9691345258</v>
      </c>
      <c r="AH112"/>
      <c r="AI112"/>
      <c r="AJ112"/>
      <c r="AK112"/>
      <c r="AL112"/>
      <c r="AM112"/>
      <c r="AN112"/>
      <c r="AP112" t="s">
        <v>113</v>
      </c>
      <c r="AQ112" s="7" t="s">
        <v>158</v>
      </c>
      <c r="AR112" s="1">
        <v>5188175</v>
      </c>
      <c r="AS112" s="1">
        <v>893130.629468</v>
      </c>
      <c r="AT112" s="1">
        <v>446565.314734</v>
      </c>
      <c r="AU112" s="1">
        <v>2070439.186494</v>
      </c>
      <c r="AV112" s="1">
        <v>102710.02238882001</v>
      </c>
      <c r="AW112" s="1">
        <v>71450.45035744</v>
      </c>
      <c r="AX112" s="1">
        <v>294733.10772444005</v>
      </c>
      <c r="AY112" s="1">
        <f t="shared" si="115"/>
        <v>18795.934097154062</v>
      </c>
      <c r="AZ112" s="1">
        <f t="shared" si="116"/>
        <v>10987.351235832379</v>
      </c>
      <c r="BA112" s="1">
        <f t="shared" si="117"/>
        <v>25945.90742771147</v>
      </c>
      <c r="BB112" s="1">
        <f t="shared" si="118"/>
        <v>5957.181298551561</v>
      </c>
      <c r="BC112" s="1">
        <f t="shared" si="119"/>
        <v>0</v>
      </c>
      <c r="BD112" s="1">
        <f t="shared" si="120"/>
        <v>14268.044928160842</v>
      </c>
      <c r="BE112" s="1">
        <f t="shared" si="143"/>
        <v>18487.8040299876</v>
      </c>
      <c r="BF112" s="1">
        <f t="shared" si="144"/>
        <v>8911.121542454024</v>
      </c>
      <c r="BG112" s="1">
        <f t="shared" si="145"/>
        <v>37826.04704535463</v>
      </c>
      <c r="BH112" s="1">
        <f t="shared" si="146"/>
        <v>8216.801791105601</v>
      </c>
      <c r="BI112" s="1">
        <f t="shared" si="147"/>
        <v>2941.615041215805</v>
      </c>
      <c r="BJ112" s="1">
        <f t="shared" si="148"/>
        <v>26417.01775840451</v>
      </c>
      <c r="BL112" s="2">
        <v>0</v>
      </c>
      <c r="BM112" s="2">
        <v>0</v>
      </c>
      <c r="BO112" s="1">
        <f t="shared" si="121"/>
        <v>18795.934097154062</v>
      </c>
      <c r="BP112" s="1">
        <f t="shared" si="122"/>
        <v>10987.351235832379</v>
      </c>
      <c r="BQ112" s="1">
        <f t="shared" si="123"/>
        <v>25945.90742771147</v>
      </c>
      <c r="BR112" s="1">
        <f t="shared" si="124"/>
        <v>5957.181298551561</v>
      </c>
      <c r="BS112" s="1">
        <f t="shared" si="125"/>
        <v>0</v>
      </c>
      <c r="BT112" s="1">
        <f t="shared" si="126"/>
        <v>14268.044928160842</v>
      </c>
      <c r="BU112" s="1">
        <f t="shared" si="127"/>
        <v>18487.8040299876</v>
      </c>
      <c r="BV112" s="1">
        <f t="shared" si="128"/>
        <v>8911.121542454024</v>
      </c>
      <c r="BW112" s="1">
        <f t="shared" si="129"/>
        <v>37826.04704535463</v>
      </c>
      <c r="BX112" s="1">
        <f t="shared" si="130"/>
        <v>8216.801791105601</v>
      </c>
      <c r="BY112" s="1">
        <f t="shared" si="131"/>
        <v>2941.615041215805</v>
      </c>
      <c r="BZ112" s="1">
        <f t="shared" si="132"/>
        <v>26417.01775840451</v>
      </c>
      <c r="CA112" s="1">
        <f t="shared" si="133"/>
        <v>102710.02238882001</v>
      </c>
      <c r="CB112" s="1">
        <f t="shared" si="134"/>
        <v>71450.45035744</v>
      </c>
      <c r="CC112" s="1">
        <f t="shared" si="135"/>
        <v>294733.10772444005</v>
      </c>
      <c r="CD112" s="1">
        <f t="shared" si="86"/>
        <v>893130.629468</v>
      </c>
      <c r="CE112" s="1">
        <f t="shared" si="87"/>
        <v>446565.314734</v>
      </c>
      <c r="CF112" s="1">
        <f t="shared" si="88"/>
        <v>2070439.186494</v>
      </c>
      <c r="CG112" t="s">
        <v>113</v>
      </c>
      <c r="CH112" s="7" t="s">
        <v>158</v>
      </c>
      <c r="CI112" s="1">
        <v>5188175</v>
      </c>
      <c r="CJ112" s="102">
        <v>2534.909</v>
      </c>
      <c r="CK112" s="1">
        <v>5089.099</v>
      </c>
      <c r="CL112" s="1">
        <f t="shared" si="136"/>
        <v>7624.008</v>
      </c>
      <c r="CM112" s="1">
        <v>2541.384148507</v>
      </c>
      <c r="CN112" s="1">
        <v>5026.28981347815</v>
      </c>
      <c r="CO112" s="1">
        <f t="shared" si="137"/>
        <v>7567.6739619851505</v>
      </c>
      <c r="CP112" s="1">
        <f t="shared" si="89"/>
        <v>2494.3053378703057</v>
      </c>
      <c r="CQ112" s="1">
        <f t="shared" si="90"/>
        <v>1320.5591063664087</v>
      </c>
      <c r="CR112" s="1">
        <f t="shared" si="91"/>
        <v>3447.832257080435</v>
      </c>
      <c r="CS112" s="1">
        <f t="shared" si="92"/>
        <v>1608.887484318043</v>
      </c>
      <c r="CT112" s="1">
        <f t="shared" si="93"/>
        <v>228.54375365195156</v>
      </c>
      <c r="CU112" s="1">
        <f t="shared" si="94"/>
        <v>2730.416765484242</v>
      </c>
    </row>
    <row r="113" spans="1:99" ht="12.75">
      <c r="A113" t="s">
        <v>114</v>
      </c>
      <c r="B113" s="1">
        <v>3021924</v>
      </c>
      <c r="C113" s="7" t="s">
        <v>110</v>
      </c>
      <c r="D113" s="30">
        <v>8.5</v>
      </c>
      <c r="E113" s="29">
        <v>5.9</v>
      </c>
      <c r="F113" s="29">
        <v>56.7</v>
      </c>
      <c r="G113" s="120">
        <v>9.8</v>
      </c>
      <c r="H113" s="113">
        <v>17.6</v>
      </c>
      <c r="I113" s="1">
        <f t="shared" si="95"/>
        <v>256863.54</v>
      </c>
      <c r="J113" s="1">
        <f t="shared" si="96"/>
        <v>178293.516</v>
      </c>
      <c r="K113" s="1">
        <f t="shared" si="97"/>
        <v>1713430.908</v>
      </c>
      <c r="L113" s="1">
        <f t="shared" si="98"/>
        <v>296148.552</v>
      </c>
      <c r="M113" s="1">
        <f t="shared" si="99"/>
        <v>531858.6240000001</v>
      </c>
      <c r="N113" s="12">
        <f t="shared" si="138"/>
        <v>-0.10712000000000002</v>
      </c>
      <c r="O113" s="12">
        <f t="shared" si="139"/>
        <v>-0.011639999999999998</v>
      </c>
      <c r="P113" s="12">
        <f t="shared" si="140"/>
        <v>0.012390000000000035</v>
      </c>
      <c r="Q113" s="12">
        <f t="shared" si="141"/>
        <v>-0.33904000000000006</v>
      </c>
      <c r="R113" s="12">
        <f t="shared" si="142"/>
        <v>0.04969800000000002</v>
      </c>
      <c r="S113" s="1">
        <f t="shared" si="100"/>
        <v>401744.73022463993</v>
      </c>
      <c r="T113" s="2">
        <f t="shared" si="101"/>
        <v>0.13294335999999998</v>
      </c>
      <c r="U113" s="1">
        <f t="shared" si="102"/>
        <v>46200.64397583359</v>
      </c>
      <c r="V113" s="1">
        <f t="shared" si="103"/>
        <v>27959.022755253594</v>
      </c>
      <c r="W113" s="1">
        <f t="shared" si="104"/>
        <v>13979.511377626797</v>
      </c>
      <c r="X113" s="1">
        <f t="shared" si="105"/>
        <v>64814.09820536061</v>
      </c>
      <c r="Y113" s="1">
        <f t="shared" si="106"/>
        <v>3342.516155469004</v>
      </c>
      <c r="Z113" s="1">
        <f t="shared" si="107"/>
        <v>1671.258077734502</v>
      </c>
      <c r="AA113" s="1">
        <f t="shared" si="108"/>
        <v>7748.560178587235</v>
      </c>
      <c r="AB113" s="1">
        <f t="shared" si="109"/>
        <v>111193.89403485568</v>
      </c>
      <c r="AC113" s="1">
        <f t="shared" si="110"/>
        <v>55596.94701742784</v>
      </c>
      <c r="AD113" s="1">
        <f t="shared" si="111"/>
        <v>257767.66344443816</v>
      </c>
      <c r="AE113" s="1">
        <f t="shared" si="112"/>
        <v>65814.13908373739</v>
      </c>
      <c r="AF113" s="1">
        <f t="shared" si="113"/>
        <v>32907.069541868696</v>
      </c>
      <c r="AG113" s="1">
        <f t="shared" si="114"/>
        <v>152569.1406032094</v>
      </c>
      <c r="AH113"/>
      <c r="AI113"/>
      <c r="AJ113"/>
      <c r="AK113"/>
      <c r="AL113"/>
      <c r="AM113"/>
      <c r="AN113"/>
      <c r="AP113" t="s">
        <v>114</v>
      </c>
      <c r="AQ113" s="7" t="s">
        <v>158</v>
      </c>
      <c r="AR113" s="1">
        <v>3021924</v>
      </c>
      <c r="AS113" s="1">
        <v>401744.73022463993</v>
      </c>
      <c r="AT113" s="1">
        <v>200872.36511231997</v>
      </c>
      <c r="AU113" s="1">
        <v>931317.32915712</v>
      </c>
      <c r="AV113" s="1">
        <v>46200.64397583359</v>
      </c>
      <c r="AW113" s="1">
        <v>32139.578417971195</v>
      </c>
      <c r="AX113" s="1">
        <v>132575.76097413118</v>
      </c>
      <c r="AY113" s="1">
        <f t="shared" si="115"/>
        <v>8454.717847577547</v>
      </c>
      <c r="AZ113" s="1">
        <f t="shared" si="116"/>
        <v>4942.289864979931</v>
      </c>
      <c r="BA113" s="1">
        <f t="shared" si="117"/>
        <v>11670.892516796046</v>
      </c>
      <c r="BB113" s="1">
        <f t="shared" si="118"/>
        <v>2679.6373505983483</v>
      </c>
      <c r="BC113" s="1">
        <f t="shared" si="119"/>
        <v>0</v>
      </c>
      <c r="BD113" s="1">
        <f t="shared" si="120"/>
        <v>6417.999418418103</v>
      </c>
      <c r="BE113" s="1">
        <f t="shared" si="143"/>
        <v>8316.115915650045</v>
      </c>
      <c r="BF113" s="1">
        <f t="shared" si="144"/>
        <v>4008.367871343322</v>
      </c>
      <c r="BG113" s="1">
        <f t="shared" si="145"/>
        <v>17014.77316341999</v>
      </c>
      <c r="BH113" s="1">
        <f t="shared" si="146"/>
        <v>3696.0515180666875</v>
      </c>
      <c r="BI113" s="1">
        <f t="shared" si="147"/>
        <v>1323.1864434678741</v>
      </c>
      <c r="BJ113" s="1">
        <f t="shared" si="148"/>
        <v>11882.8056305844</v>
      </c>
      <c r="BL113" s="2">
        <v>0.99</v>
      </c>
      <c r="BM113" s="2">
        <v>0.01</v>
      </c>
      <c r="BO113" s="1">
        <f t="shared" si="121"/>
        <v>8405.680484061597</v>
      </c>
      <c r="BP113" s="1">
        <f t="shared" si="122"/>
        <v>4913.624583763048</v>
      </c>
      <c r="BQ113" s="1">
        <f t="shared" si="123"/>
        <v>11603.20134019863</v>
      </c>
      <c r="BR113" s="1">
        <f t="shared" si="124"/>
        <v>557.3645689244563</v>
      </c>
      <c r="BS113" s="1">
        <f t="shared" si="125"/>
        <v>0</v>
      </c>
      <c r="BT113" s="1">
        <f t="shared" si="126"/>
        <v>1334.943879030965</v>
      </c>
      <c r="BU113" s="1">
        <f t="shared" si="127"/>
        <v>8316.115915650045</v>
      </c>
      <c r="BV113" s="1">
        <f t="shared" si="128"/>
        <v>4008.367871343322</v>
      </c>
      <c r="BW113" s="1">
        <f t="shared" si="129"/>
        <v>17014.77316341999</v>
      </c>
      <c r="BX113" s="1">
        <f t="shared" si="130"/>
        <v>3696.0515180666875</v>
      </c>
      <c r="BY113" s="1">
        <f t="shared" si="131"/>
        <v>1323.1864434678741</v>
      </c>
      <c r="BZ113" s="1">
        <f t="shared" si="132"/>
        <v>11882.8056305844</v>
      </c>
      <c r="CA113" s="1">
        <f t="shared" si="133"/>
        <v>44029.33383064375</v>
      </c>
      <c r="CB113" s="1">
        <f t="shared" si="134"/>
        <v>32110.913136754312</v>
      </c>
      <c r="CC113" s="1">
        <f t="shared" si="135"/>
        <v>127425.01425814664</v>
      </c>
      <c r="CD113" s="1">
        <f t="shared" si="86"/>
        <v>385554.417596587</v>
      </c>
      <c r="CE113" s="1">
        <f t="shared" si="87"/>
        <v>192777.2087982935</v>
      </c>
      <c r="CF113" s="1">
        <f t="shared" si="88"/>
        <v>893785.240792088</v>
      </c>
      <c r="CG113" t="s">
        <v>114</v>
      </c>
      <c r="CH113" s="7" t="s">
        <v>158</v>
      </c>
      <c r="CI113" s="1">
        <v>3021924</v>
      </c>
      <c r="CJ113" s="102">
        <v>1199.91</v>
      </c>
      <c r="CK113" s="1">
        <v>2259.816</v>
      </c>
      <c r="CL113" s="1">
        <f t="shared" si="136"/>
        <v>3459.7259999999997</v>
      </c>
      <c r="CM113" s="1">
        <v>1159.8562571977</v>
      </c>
      <c r="CN113" s="1">
        <v>1942.7835543964</v>
      </c>
      <c r="CO113" s="1">
        <f t="shared" si="137"/>
        <v>3102.6398115941</v>
      </c>
      <c r="CP113" s="1">
        <f t="shared" si="89"/>
        <v>1018.6461529039706</v>
      </c>
      <c r="CQ113" s="1">
        <f t="shared" si="90"/>
        <v>538.8158008418882</v>
      </c>
      <c r="CR113" s="1">
        <f t="shared" si="91"/>
        <v>1409.0875201030526</v>
      </c>
      <c r="CS113" s="1">
        <f t="shared" si="92"/>
        <v>164.98049902135722</v>
      </c>
      <c r="CT113" s="1">
        <f t="shared" si="93"/>
        <v>19.96712389672082</v>
      </c>
      <c r="CU113" s="1">
        <f t="shared" si="94"/>
        <v>325.9966705562892</v>
      </c>
    </row>
    <row r="114" spans="1:99" ht="12.75">
      <c r="A114" t="s">
        <v>115</v>
      </c>
      <c r="B114" s="1">
        <v>21418111</v>
      </c>
      <c r="C114" s="7" t="s">
        <v>110</v>
      </c>
      <c r="D114" s="113">
        <v>31</v>
      </c>
      <c r="E114" s="29">
        <v>3.1</v>
      </c>
      <c r="F114" s="29">
        <v>73.8</v>
      </c>
      <c r="G114" s="112">
        <v>66.6</v>
      </c>
      <c r="H114" s="120">
        <v>37.8</v>
      </c>
      <c r="I114" s="1">
        <f t="shared" si="95"/>
        <v>6639614.41</v>
      </c>
      <c r="J114" s="1">
        <f t="shared" si="96"/>
        <v>663961.441</v>
      </c>
      <c r="K114" s="1">
        <f t="shared" si="97"/>
        <v>15806565.918</v>
      </c>
      <c r="L114" s="1">
        <f t="shared" si="98"/>
        <v>14264461.925999999</v>
      </c>
      <c r="M114" s="1">
        <f t="shared" si="99"/>
        <v>8096045.958</v>
      </c>
      <c r="N114" s="12">
        <f t="shared" si="138"/>
        <v>0.07287999999999999</v>
      </c>
      <c r="O114" s="12">
        <f t="shared" si="139"/>
        <v>-0.02284</v>
      </c>
      <c r="P114" s="12">
        <f t="shared" si="140"/>
        <v>0.06369000000000001</v>
      </c>
      <c r="Q114" s="12">
        <f t="shared" si="141"/>
        <v>0.11535999999999991</v>
      </c>
      <c r="R114" s="12">
        <f t="shared" si="142"/>
        <v>0.24967799999999998</v>
      </c>
      <c r="S114" s="1">
        <f t="shared" si="100"/>
        <v>6967931.77679456</v>
      </c>
      <c r="T114" s="2">
        <f t="shared" si="101"/>
        <v>0.32532896</v>
      </c>
      <c r="U114" s="1">
        <f t="shared" si="102"/>
        <v>801312.1543313744</v>
      </c>
      <c r="V114" s="1">
        <f t="shared" si="103"/>
        <v>487755.22437561926</v>
      </c>
      <c r="W114" s="1">
        <f t="shared" si="104"/>
        <v>243877.61218780963</v>
      </c>
      <c r="X114" s="1">
        <f t="shared" si="105"/>
        <v>1130705.2928707537</v>
      </c>
      <c r="Y114" s="1">
        <f t="shared" si="106"/>
        <v>86959.78857439611</v>
      </c>
      <c r="Z114" s="1">
        <f t="shared" si="107"/>
        <v>43479.894287198054</v>
      </c>
      <c r="AA114" s="1">
        <f t="shared" si="108"/>
        <v>201588.60078610003</v>
      </c>
      <c r="AB114" s="1">
        <f t="shared" si="109"/>
        <v>1940422.9519872433</v>
      </c>
      <c r="AC114" s="1">
        <f t="shared" si="110"/>
        <v>970211.4759936216</v>
      </c>
      <c r="AD114" s="1">
        <f t="shared" si="111"/>
        <v>4498253.206879518</v>
      </c>
      <c r="AE114" s="1">
        <f t="shared" si="112"/>
        <v>1148509.7014709515</v>
      </c>
      <c r="AF114" s="1">
        <f t="shared" si="113"/>
        <v>574254.8507354758</v>
      </c>
      <c r="AG114" s="1">
        <f t="shared" si="114"/>
        <v>2662454.3079553875</v>
      </c>
      <c r="AH114"/>
      <c r="AI114"/>
      <c r="AJ114"/>
      <c r="AK114"/>
      <c r="AL114"/>
      <c r="AM114"/>
      <c r="AN114"/>
      <c r="AP114" t="s">
        <v>115</v>
      </c>
      <c r="AQ114" s="7" t="s">
        <v>158</v>
      </c>
      <c r="AR114" s="1">
        <v>21418111</v>
      </c>
      <c r="AS114" s="1">
        <v>6967931.77679456</v>
      </c>
      <c r="AT114" s="1">
        <v>3483965.88839728</v>
      </c>
      <c r="AU114" s="1">
        <v>16152932.75529648</v>
      </c>
      <c r="AV114" s="1">
        <v>801312.1543313744</v>
      </c>
      <c r="AW114" s="1">
        <v>557434.5421435648</v>
      </c>
      <c r="AX114" s="1">
        <v>2299417.486342205</v>
      </c>
      <c r="AY114" s="1">
        <f t="shared" si="115"/>
        <v>146640.12424264153</v>
      </c>
      <c r="AZ114" s="1">
        <f t="shared" si="116"/>
        <v>85719.95102727853</v>
      </c>
      <c r="BA114" s="1">
        <f t="shared" si="117"/>
        <v>202422.02750454238</v>
      </c>
      <c r="BB114" s="1">
        <f t="shared" si="118"/>
        <v>46476.10495121972</v>
      </c>
      <c r="BC114" s="1">
        <f t="shared" si="119"/>
        <v>0</v>
      </c>
      <c r="BD114" s="1">
        <f t="shared" si="120"/>
        <v>111314.91896866634</v>
      </c>
      <c r="BE114" s="1">
        <f t="shared" si="143"/>
        <v>144236.1877796474</v>
      </c>
      <c r="BF114" s="1">
        <f t="shared" si="144"/>
        <v>69521.84250979003</v>
      </c>
      <c r="BG114" s="1">
        <f t="shared" si="145"/>
        <v>295107.24019715854</v>
      </c>
      <c r="BH114" s="1">
        <f t="shared" si="146"/>
        <v>64104.97234650996</v>
      </c>
      <c r="BI114" s="1">
        <f t="shared" si="147"/>
        <v>22949.580100050563</v>
      </c>
      <c r="BJ114" s="1">
        <f t="shared" si="148"/>
        <v>206097.4860940295</v>
      </c>
      <c r="BL114" s="2">
        <v>0.86</v>
      </c>
      <c r="BM114" s="2">
        <v>0</v>
      </c>
      <c r="BO114" s="1">
        <f t="shared" si="121"/>
        <v>146640.12424264153</v>
      </c>
      <c r="BP114" s="1">
        <f t="shared" si="122"/>
        <v>85719.95102727853</v>
      </c>
      <c r="BQ114" s="1">
        <f t="shared" si="123"/>
        <v>202422.02750454238</v>
      </c>
      <c r="BR114" s="1">
        <f t="shared" si="124"/>
        <v>14500.544744780553</v>
      </c>
      <c r="BS114" s="1">
        <f t="shared" si="125"/>
        <v>0</v>
      </c>
      <c r="BT114" s="1">
        <f t="shared" si="126"/>
        <v>34730.25471822389</v>
      </c>
      <c r="BU114" s="1">
        <f t="shared" si="127"/>
        <v>144236.1877796474</v>
      </c>
      <c r="BV114" s="1">
        <f t="shared" si="128"/>
        <v>69521.84250979003</v>
      </c>
      <c r="BW114" s="1">
        <f t="shared" si="129"/>
        <v>295107.24019715854</v>
      </c>
      <c r="BX114" s="1">
        <f t="shared" si="130"/>
        <v>64104.97234650996</v>
      </c>
      <c r="BY114" s="1">
        <f t="shared" si="131"/>
        <v>22949.580100050563</v>
      </c>
      <c r="BZ114" s="1">
        <f t="shared" si="132"/>
        <v>206097.4860940295</v>
      </c>
      <c r="CA114" s="1">
        <f t="shared" si="133"/>
        <v>769336.5941249353</v>
      </c>
      <c r="CB114" s="1">
        <f t="shared" si="134"/>
        <v>557434.5421435648</v>
      </c>
      <c r="CC114" s="1">
        <f t="shared" si="135"/>
        <v>2222832.822091763</v>
      </c>
      <c r="CD114" s="1">
        <f aca="true" t="shared" si="149" ref="CD114:CD145">AS114-(AS114*BM114*0.07)-(AS114*BL114*0.04)</f>
        <v>6728234.923672827</v>
      </c>
      <c r="CE114" s="1">
        <f aca="true" t="shared" si="150" ref="CE114:CE145">AT114-(AT114*BM114*0.07)-(AT114*BL114*0.04)</f>
        <v>3364117.4618364135</v>
      </c>
      <c r="CF114" s="1">
        <f aca="true" t="shared" si="151" ref="CF114:CF145">AU114-(AU114*BM114*0.07)-(AU114*BL114*0.04)</f>
        <v>15597271.86851428</v>
      </c>
      <c r="CG114" t="s">
        <v>115</v>
      </c>
      <c r="CH114" s="7" t="s">
        <v>158</v>
      </c>
      <c r="CI114" s="1">
        <v>21418111</v>
      </c>
      <c r="CJ114" s="102">
        <v>17880.5</v>
      </c>
      <c r="CK114" s="1">
        <v>61953.27</v>
      </c>
      <c r="CL114" s="1">
        <f t="shared" si="136"/>
        <v>79833.76999999999</v>
      </c>
      <c r="CM114" s="1">
        <v>15590.9434213303</v>
      </c>
      <c r="CN114" s="1">
        <v>49262.0371198169</v>
      </c>
      <c r="CO114" s="1">
        <f t="shared" si="137"/>
        <v>64852.980541147204</v>
      </c>
      <c r="CP114" s="1">
        <f aca="true" t="shared" si="152" ref="CP114:CP145">((0.3296-(0.3296*BM114*0.58))/(1-(0.3296*BM114*0.58)))*CO114</f>
        <v>21375.542386362118</v>
      </c>
      <c r="CQ114" s="1">
        <f aca="true" t="shared" si="153" ref="CQ114:CQ145">((0.1745-(0.1745*BM114*0.58))/(1-(0.1745*BM114*0.58)))*CO114</f>
        <v>11316.845104430186</v>
      </c>
      <c r="CR114" s="1">
        <f aca="true" t="shared" si="154" ref="CR114:CR145">((0.4556-(0.4556*BM114*0.58))/(1-(0.4556*BM114*0.58)))*CO114</f>
        <v>29547.017934546668</v>
      </c>
      <c r="CS114" s="1">
        <f aca="true" t="shared" si="155" ref="CS114:CS145">((0.2126-(0.2126*BL114*0.8))/(1-(0.2126*BL114*0.8)))*CO114</f>
        <v>5038.794438894753</v>
      </c>
      <c r="CT114" s="1">
        <f aca="true" t="shared" si="156" ref="CT114:CT145">((0.0302-(0.0302*BL114*0.8))/(1-(0.0302*BL114*0.8)))*CO114</f>
        <v>624.0367089753107</v>
      </c>
      <c r="CU114" s="1">
        <f aca="true" t="shared" si="157" ref="CU114:CU145">((0.3608-(0.3608*BL114*0.8))/(1-(0.3608*BL114*0.8)))*CO114</f>
        <v>9711.052533016396</v>
      </c>
    </row>
    <row r="115" spans="1:99" ht="12.75">
      <c r="A115" t="s">
        <v>116</v>
      </c>
      <c r="B115" s="1">
        <v>1667479</v>
      </c>
      <c r="C115" s="7" t="s">
        <v>110</v>
      </c>
      <c r="D115" s="113">
        <v>32</v>
      </c>
      <c r="E115" s="107">
        <v>8</v>
      </c>
      <c r="F115" s="113">
        <v>91</v>
      </c>
      <c r="G115" s="113">
        <v>100</v>
      </c>
      <c r="H115" s="107">
        <v>32.6</v>
      </c>
      <c r="I115" s="1">
        <f aca="true" t="shared" si="158" ref="I115:I147">(B115*D115)/100</f>
        <v>533593.28</v>
      </c>
      <c r="J115" s="1">
        <f aca="true" t="shared" si="159" ref="J115:J147">(B115*E115)/100</f>
        <v>133398.32</v>
      </c>
      <c r="K115" s="1">
        <f aca="true" t="shared" si="160" ref="K115:K147">(B115*F115)/100</f>
        <v>1517405.89</v>
      </c>
      <c r="L115" s="1">
        <f aca="true" t="shared" si="161" ref="L115:L147">(B115*G115)/100</f>
        <v>1667479</v>
      </c>
      <c r="M115" s="1">
        <f aca="true" t="shared" si="162" ref="M115:M147">(B115*H115)/100</f>
        <v>543598.1540000001</v>
      </c>
      <c r="N115" s="12">
        <f t="shared" si="138"/>
        <v>0.08088000000000001</v>
      </c>
      <c r="O115" s="12">
        <f t="shared" si="139"/>
        <v>-0.0032399999999999985</v>
      </c>
      <c r="P115" s="12">
        <f t="shared" si="140"/>
        <v>0.11529000000000002</v>
      </c>
      <c r="Q115" s="12">
        <f t="shared" si="141"/>
        <v>0.38256</v>
      </c>
      <c r="R115" s="12">
        <f t="shared" si="142"/>
        <v>0.198198</v>
      </c>
      <c r="S115" s="1">
        <f t="shared" si="100"/>
        <v>650669.2483614401</v>
      </c>
      <c r="T115" s="2">
        <f aca="true" t="shared" si="163" ref="T115:T147">S115/B115</f>
        <v>0.39021136000000006</v>
      </c>
      <c r="U115" s="1">
        <f t="shared" si="102"/>
        <v>74826.96356156562</v>
      </c>
      <c r="V115" s="1">
        <f t="shared" si="103"/>
        <v>45546.84738530081</v>
      </c>
      <c r="W115" s="1">
        <f t="shared" si="104"/>
        <v>22773.423692650405</v>
      </c>
      <c r="X115" s="1">
        <f t="shared" si="105"/>
        <v>105585.87348410643</v>
      </c>
      <c r="Y115" s="1">
        <f t="shared" si="106"/>
        <v>26026.769934457607</v>
      </c>
      <c r="Z115" s="1">
        <f t="shared" si="107"/>
        <v>13013.384967228803</v>
      </c>
      <c r="AA115" s="1">
        <f t="shared" si="108"/>
        <v>60334.784848060815</v>
      </c>
      <c r="AB115" s="1">
        <f t="shared" si="109"/>
        <v>187653.01122743933</v>
      </c>
      <c r="AC115" s="1">
        <f t="shared" si="110"/>
        <v>93826.50561371967</v>
      </c>
      <c r="AD115" s="1">
        <f t="shared" si="111"/>
        <v>435013.79875451844</v>
      </c>
      <c r="AE115" s="1">
        <f t="shared" si="112"/>
        <v>111069.24069529782</v>
      </c>
      <c r="AF115" s="1">
        <f t="shared" si="113"/>
        <v>55534.62034764891</v>
      </c>
      <c r="AG115" s="1">
        <f t="shared" si="114"/>
        <v>257478.69433909951</v>
      </c>
      <c r="AH115"/>
      <c r="AI115"/>
      <c r="AJ115"/>
      <c r="AK115"/>
      <c r="AL115"/>
      <c r="AM115"/>
      <c r="AN115"/>
      <c r="AP115" t="s">
        <v>116</v>
      </c>
      <c r="AQ115" s="7" t="s">
        <v>158</v>
      </c>
      <c r="AR115" s="1">
        <v>1667479</v>
      </c>
      <c r="AS115" s="1">
        <v>650669.2483614401</v>
      </c>
      <c r="AT115" s="1">
        <v>325334.6241807201</v>
      </c>
      <c r="AU115" s="1">
        <v>1508369.6212015203</v>
      </c>
      <c r="AV115" s="1">
        <v>74826.96356156562</v>
      </c>
      <c r="AW115" s="1">
        <v>52053.53986891521</v>
      </c>
      <c r="AX115" s="1">
        <v>214720.85195927526</v>
      </c>
      <c r="AY115" s="1">
        <f t="shared" si="115"/>
        <v>13693.334331766508</v>
      </c>
      <c r="AZ115" s="1">
        <f t="shared" si="116"/>
        <v>8004.575516977429</v>
      </c>
      <c r="BA115" s="1">
        <f t="shared" si="117"/>
        <v>18902.27871157049</v>
      </c>
      <c r="BB115" s="1">
        <f t="shared" si="118"/>
        <v>4339.963886570806</v>
      </c>
      <c r="BC115" s="1">
        <f t="shared" si="119"/>
        <v>0</v>
      </c>
      <c r="BD115" s="1">
        <f t="shared" si="120"/>
        <v>10394.647504725735</v>
      </c>
      <c r="BE115" s="1">
        <f t="shared" si="143"/>
        <v>13468.85344108181</v>
      </c>
      <c r="BF115" s="1">
        <f t="shared" si="144"/>
        <v>6491.987358601432</v>
      </c>
      <c r="BG115" s="1">
        <f t="shared" si="145"/>
        <v>27557.27414045338</v>
      </c>
      <c r="BH115" s="1">
        <f t="shared" si="146"/>
        <v>5986.157084925249</v>
      </c>
      <c r="BI115" s="1">
        <f t="shared" si="147"/>
        <v>2143.044236403239</v>
      </c>
      <c r="BJ115" s="1">
        <f t="shared" si="148"/>
        <v>19245.495028034675</v>
      </c>
      <c r="BL115" s="2">
        <v>0</v>
      </c>
      <c r="BM115" s="2">
        <v>0</v>
      </c>
      <c r="BO115" s="1">
        <f t="shared" si="121"/>
        <v>13693.334331766508</v>
      </c>
      <c r="BP115" s="1">
        <f t="shared" si="122"/>
        <v>8004.575516977429</v>
      </c>
      <c r="BQ115" s="1">
        <f t="shared" si="123"/>
        <v>18902.27871157049</v>
      </c>
      <c r="BR115" s="1">
        <f t="shared" si="124"/>
        <v>4339.963886570806</v>
      </c>
      <c r="BS115" s="1">
        <f t="shared" si="125"/>
        <v>0</v>
      </c>
      <c r="BT115" s="1">
        <f t="shared" si="126"/>
        <v>10394.647504725735</v>
      </c>
      <c r="BU115" s="1">
        <f t="shared" si="127"/>
        <v>13468.85344108181</v>
      </c>
      <c r="BV115" s="1">
        <f t="shared" si="128"/>
        <v>6491.987358601432</v>
      </c>
      <c r="BW115" s="1">
        <f t="shared" si="129"/>
        <v>27557.27414045338</v>
      </c>
      <c r="BX115" s="1">
        <f t="shared" si="130"/>
        <v>5986.157084925249</v>
      </c>
      <c r="BY115" s="1">
        <f t="shared" si="131"/>
        <v>2143.044236403239</v>
      </c>
      <c r="BZ115" s="1">
        <f t="shared" si="132"/>
        <v>19245.495028034675</v>
      </c>
      <c r="CA115" s="1">
        <f t="shared" si="133"/>
        <v>74826.96356156562</v>
      </c>
      <c r="CB115" s="1">
        <f t="shared" si="134"/>
        <v>52053.53986891521</v>
      </c>
      <c r="CC115" s="1">
        <f t="shared" si="135"/>
        <v>214720.85195927526</v>
      </c>
      <c r="CD115" s="1">
        <f t="shared" si="149"/>
        <v>650669.2483614401</v>
      </c>
      <c r="CE115" s="1">
        <f t="shared" si="150"/>
        <v>325334.6241807201</v>
      </c>
      <c r="CF115" s="1">
        <f t="shared" si="151"/>
        <v>1508369.6212015203</v>
      </c>
      <c r="CG115" t="s">
        <v>116</v>
      </c>
      <c r="CH115" s="7" t="s">
        <v>158</v>
      </c>
      <c r="CI115" s="1">
        <v>1667479</v>
      </c>
      <c r="CJ115" s="102">
        <v>3910.85</v>
      </c>
      <c r="CK115" s="1">
        <v>11344.95</v>
      </c>
      <c r="CL115" s="1">
        <f t="shared" si="136"/>
        <v>15255.800000000001</v>
      </c>
      <c r="CM115" s="1">
        <v>3856.97236188041</v>
      </c>
      <c r="CN115" s="1">
        <v>14232.4666101476</v>
      </c>
      <c r="CO115" s="1">
        <f t="shared" si="137"/>
        <v>18089.43897202801</v>
      </c>
      <c r="CP115" s="1">
        <f t="shared" si="152"/>
        <v>5962.279085180432</v>
      </c>
      <c r="CQ115" s="1">
        <f t="shared" si="153"/>
        <v>3156.607100618887</v>
      </c>
      <c r="CR115" s="1">
        <f t="shared" si="154"/>
        <v>8241.54839565596</v>
      </c>
      <c r="CS115" s="1">
        <f t="shared" si="155"/>
        <v>3845.814725453155</v>
      </c>
      <c r="CT115" s="1">
        <f t="shared" si="156"/>
        <v>546.3010569552459</v>
      </c>
      <c r="CU115" s="1">
        <f t="shared" si="157"/>
        <v>6526.669581107706</v>
      </c>
    </row>
    <row r="116" spans="1:99" ht="12.75">
      <c r="A116" t="s">
        <v>117</v>
      </c>
      <c r="B116" s="1">
        <v>6391368</v>
      </c>
      <c r="C116" s="7" t="s">
        <v>110</v>
      </c>
      <c r="D116" s="113">
        <v>31</v>
      </c>
      <c r="E116" s="113">
        <v>31</v>
      </c>
      <c r="F116" s="115">
        <v>66.3</v>
      </c>
      <c r="G116" s="113">
        <v>72.4</v>
      </c>
      <c r="H116" s="113">
        <v>27.4</v>
      </c>
      <c r="I116" s="1">
        <f t="shared" si="158"/>
        <v>1981324.08</v>
      </c>
      <c r="J116" s="1">
        <f t="shared" si="159"/>
        <v>1981324.08</v>
      </c>
      <c r="K116" s="1">
        <f t="shared" si="160"/>
        <v>4237476.984</v>
      </c>
      <c r="L116" s="1">
        <f t="shared" si="161"/>
        <v>4627350.432</v>
      </c>
      <c r="M116" s="1">
        <f t="shared" si="162"/>
        <v>1751234.832</v>
      </c>
      <c r="N116" s="12">
        <f t="shared" si="138"/>
        <v>0.07287999999999999</v>
      </c>
      <c r="O116" s="12">
        <f t="shared" si="139"/>
        <v>0.08876</v>
      </c>
      <c r="P116" s="12">
        <f t="shared" si="140"/>
        <v>0.04118999999999999</v>
      </c>
      <c r="Q116" s="12">
        <f t="shared" si="141"/>
        <v>0.16176000000000004</v>
      </c>
      <c r="R116" s="12">
        <f t="shared" si="142"/>
        <v>0.14671799999999996</v>
      </c>
      <c r="S116" s="1">
        <f t="shared" si="100"/>
        <v>2125051.62965568</v>
      </c>
      <c r="T116" s="2">
        <f t="shared" si="163"/>
        <v>0.33248776</v>
      </c>
      <c r="U116" s="1">
        <f t="shared" si="102"/>
        <v>244380.93741040322</v>
      </c>
      <c r="V116" s="1">
        <f t="shared" si="103"/>
        <v>148753.6140758976</v>
      </c>
      <c r="W116" s="1">
        <f t="shared" si="104"/>
        <v>74376.8070379488</v>
      </c>
      <c r="X116" s="1">
        <f t="shared" si="105"/>
        <v>344837.92353958084</v>
      </c>
      <c r="Y116" s="1">
        <f t="shared" si="106"/>
        <v>34000.82607449088</v>
      </c>
      <c r="Z116" s="1">
        <f t="shared" si="107"/>
        <v>17000.41303724544</v>
      </c>
      <c r="AA116" s="1">
        <f t="shared" si="108"/>
        <v>78820.09680904704</v>
      </c>
      <c r="AB116" s="1">
        <f t="shared" si="109"/>
        <v>594478.9432929171</v>
      </c>
      <c r="AC116" s="1">
        <f t="shared" si="110"/>
        <v>297239.47164645855</v>
      </c>
      <c r="AD116" s="1">
        <f t="shared" si="111"/>
        <v>1378110.2776335808</v>
      </c>
      <c r="AE116" s="1">
        <f t="shared" si="112"/>
        <v>351863.9237867578</v>
      </c>
      <c r="AF116" s="1">
        <f t="shared" si="113"/>
        <v>175931.9618933789</v>
      </c>
      <c r="AG116" s="1">
        <f t="shared" si="114"/>
        <v>815684.550596575</v>
      </c>
      <c r="AH116"/>
      <c r="AI116"/>
      <c r="AJ116"/>
      <c r="AK116"/>
      <c r="AL116"/>
      <c r="AM116"/>
      <c r="AN116"/>
      <c r="AP116" t="s">
        <v>117</v>
      </c>
      <c r="AQ116" s="7" t="s">
        <v>158</v>
      </c>
      <c r="AR116" s="1">
        <v>6391368</v>
      </c>
      <c r="AS116" s="1">
        <v>2125051.62965568</v>
      </c>
      <c r="AT116" s="1">
        <v>1062525.81482784</v>
      </c>
      <c r="AU116" s="1">
        <v>4926256.05056544</v>
      </c>
      <c r="AV116" s="1">
        <v>244380.93741040322</v>
      </c>
      <c r="AW116" s="1">
        <v>170004.1303724544</v>
      </c>
      <c r="AX116" s="1">
        <v>701267.0377863745</v>
      </c>
      <c r="AY116" s="1">
        <f t="shared" si="115"/>
        <v>44721.71154610379</v>
      </c>
      <c r="AZ116" s="1">
        <f t="shared" si="116"/>
        <v>26142.52370139043</v>
      </c>
      <c r="BA116" s="1">
        <f t="shared" si="117"/>
        <v>61733.850618241675</v>
      </c>
      <c r="BB116" s="1">
        <f t="shared" si="118"/>
        <v>14174.094369803388</v>
      </c>
      <c r="BC116" s="1">
        <f t="shared" si="119"/>
        <v>0</v>
      </c>
      <c r="BD116" s="1">
        <f t="shared" si="120"/>
        <v>33948.37342511609</v>
      </c>
      <c r="BE116" s="1">
        <f t="shared" si="143"/>
        <v>43988.56873387258</v>
      </c>
      <c r="BF116" s="1">
        <f t="shared" si="144"/>
        <v>21202.490129726582</v>
      </c>
      <c r="BG116" s="1">
        <f t="shared" si="145"/>
        <v>90000.61162950328</v>
      </c>
      <c r="BH116" s="1">
        <f t="shared" si="146"/>
        <v>19550.474992832256</v>
      </c>
      <c r="BI116" s="1">
        <f t="shared" si="147"/>
        <v>6999.070047433947</v>
      </c>
      <c r="BJ116" s="1">
        <f t="shared" si="148"/>
        <v>62854.777101955704</v>
      </c>
      <c r="BL116" s="2">
        <v>0.75</v>
      </c>
      <c r="BM116" s="2">
        <v>0</v>
      </c>
      <c r="BO116" s="1">
        <f t="shared" si="121"/>
        <v>44721.71154610379</v>
      </c>
      <c r="BP116" s="1">
        <f t="shared" si="122"/>
        <v>26142.52370139043</v>
      </c>
      <c r="BQ116" s="1">
        <f t="shared" si="123"/>
        <v>61733.850618241675</v>
      </c>
      <c r="BR116" s="1">
        <f t="shared" si="124"/>
        <v>5669.637747921355</v>
      </c>
      <c r="BS116" s="1">
        <f t="shared" si="125"/>
        <v>0</v>
      </c>
      <c r="BT116" s="1">
        <f t="shared" si="126"/>
        <v>13579.349370046435</v>
      </c>
      <c r="BU116" s="1">
        <f t="shared" si="127"/>
        <v>43988.56873387258</v>
      </c>
      <c r="BV116" s="1">
        <f t="shared" si="128"/>
        <v>21202.490129726582</v>
      </c>
      <c r="BW116" s="1">
        <f t="shared" si="129"/>
        <v>90000.61162950328</v>
      </c>
      <c r="BX116" s="1">
        <f t="shared" si="130"/>
        <v>19550.474992832256</v>
      </c>
      <c r="BY116" s="1">
        <f t="shared" si="131"/>
        <v>6999.070047433947</v>
      </c>
      <c r="BZ116" s="1">
        <f t="shared" si="132"/>
        <v>62854.777101955704</v>
      </c>
      <c r="CA116" s="1">
        <f t="shared" si="133"/>
        <v>235876.48078852118</v>
      </c>
      <c r="CB116" s="1">
        <f t="shared" si="134"/>
        <v>170004.1303724544</v>
      </c>
      <c r="CC116" s="1">
        <f t="shared" si="135"/>
        <v>680898.0137313048</v>
      </c>
      <c r="CD116" s="1">
        <f t="shared" si="149"/>
        <v>2061300.0807660096</v>
      </c>
      <c r="CE116" s="1">
        <f t="shared" si="150"/>
        <v>1030650.0403830048</v>
      </c>
      <c r="CF116" s="1">
        <f t="shared" si="151"/>
        <v>4778468.369048477</v>
      </c>
      <c r="CG116" t="s">
        <v>117</v>
      </c>
      <c r="CH116" s="7" t="s">
        <v>158</v>
      </c>
      <c r="CI116" s="1">
        <v>6391368</v>
      </c>
      <c r="CJ116" s="102">
        <v>3356.894</v>
      </c>
      <c r="CK116" s="1">
        <v>23609.24</v>
      </c>
      <c r="CL116" s="1">
        <f t="shared" si="136"/>
        <v>26966.134000000002</v>
      </c>
      <c r="CM116" s="1">
        <v>2410.75377741453</v>
      </c>
      <c r="CN116" s="1">
        <v>15282.4776298244</v>
      </c>
      <c r="CO116" s="282">
        <f t="shared" si="137"/>
        <v>17693.23140723893</v>
      </c>
      <c r="CP116" s="282">
        <f t="shared" si="152"/>
        <v>5831.689071825952</v>
      </c>
      <c r="CQ116" s="1">
        <f t="shared" si="153"/>
        <v>3087.468880563193</v>
      </c>
      <c r="CR116" s="1">
        <f t="shared" si="154"/>
        <v>8061.036229138057</v>
      </c>
      <c r="CS116" s="282">
        <f t="shared" si="155"/>
        <v>1724.6256463156192</v>
      </c>
      <c r="CT116" s="1">
        <f t="shared" si="156"/>
        <v>217.67857110792187</v>
      </c>
      <c r="CU116" s="1">
        <f t="shared" si="157"/>
        <v>3258.9942269408857</v>
      </c>
    </row>
    <row r="117" spans="1:99" ht="12.75">
      <c r="A117" t="s">
        <v>118</v>
      </c>
      <c r="B117" s="1">
        <v>4057096</v>
      </c>
      <c r="C117" s="7" t="s">
        <v>110</v>
      </c>
      <c r="D117" s="115">
        <v>40.5</v>
      </c>
      <c r="E117" s="29">
        <v>1.1</v>
      </c>
      <c r="F117" s="29">
        <v>76.7</v>
      </c>
      <c r="G117" s="113">
        <v>36</v>
      </c>
      <c r="H117" s="120">
        <v>40.3</v>
      </c>
      <c r="I117" s="1">
        <f t="shared" si="158"/>
        <v>1643123.88</v>
      </c>
      <c r="J117" s="1">
        <f t="shared" si="159"/>
        <v>44628.056000000004</v>
      </c>
      <c r="K117" s="1">
        <f t="shared" si="160"/>
        <v>3111792.6319999998</v>
      </c>
      <c r="L117" s="1">
        <f t="shared" si="161"/>
        <v>1460554.56</v>
      </c>
      <c r="M117" s="1">
        <f t="shared" si="162"/>
        <v>1635009.6879999998</v>
      </c>
      <c r="N117" s="12">
        <f t="shared" si="138"/>
        <v>0.14888</v>
      </c>
      <c r="O117" s="12">
        <f t="shared" si="139"/>
        <v>-0.030840000000000003</v>
      </c>
      <c r="P117" s="12">
        <f t="shared" si="140"/>
        <v>0.07239000000000002</v>
      </c>
      <c r="Q117" s="12">
        <f t="shared" si="141"/>
        <v>-0.12944000000000006</v>
      </c>
      <c r="R117" s="12">
        <f t="shared" si="142"/>
        <v>0.274428</v>
      </c>
      <c r="S117" s="1">
        <f t="shared" si="100"/>
        <v>1191942.1857481604</v>
      </c>
      <c r="T117" s="2">
        <f t="shared" si="163"/>
        <v>0.2937919600000001</v>
      </c>
      <c r="U117" s="1">
        <f t="shared" si="102"/>
        <v>137073.35136103845</v>
      </c>
      <c r="V117" s="1">
        <f t="shared" si="103"/>
        <v>83435.95300237123</v>
      </c>
      <c r="W117" s="1">
        <f t="shared" si="104"/>
        <v>41717.976501185614</v>
      </c>
      <c r="X117" s="1">
        <f t="shared" si="105"/>
        <v>193419.70923276964</v>
      </c>
      <c r="Y117" s="1">
        <f t="shared" si="106"/>
        <v>14494.016978697626</v>
      </c>
      <c r="Z117" s="1">
        <f t="shared" si="107"/>
        <v>7247.008489348813</v>
      </c>
      <c r="AA117" s="1">
        <f t="shared" si="108"/>
        <v>33599.76663243541</v>
      </c>
      <c r="AB117" s="1">
        <f t="shared" si="109"/>
        <v>331793.4131721015</v>
      </c>
      <c r="AC117" s="1">
        <f t="shared" si="110"/>
        <v>165896.70658605074</v>
      </c>
      <c r="AD117" s="1">
        <f t="shared" si="111"/>
        <v>769157.4578080534</v>
      </c>
      <c r="AE117" s="1">
        <f t="shared" si="112"/>
        <v>196383.96542468003</v>
      </c>
      <c r="AF117" s="1">
        <f t="shared" si="113"/>
        <v>98191.98271234002</v>
      </c>
      <c r="AG117" s="1">
        <f t="shared" si="114"/>
        <v>455253.73802994</v>
      </c>
      <c r="AH117"/>
      <c r="AI117"/>
      <c r="AJ117"/>
      <c r="AK117"/>
      <c r="AL117"/>
      <c r="AM117"/>
      <c r="AN117"/>
      <c r="AP117" t="s">
        <v>118</v>
      </c>
      <c r="AQ117" s="7" t="s">
        <v>158</v>
      </c>
      <c r="AR117" s="1">
        <v>4057096</v>
      </c>
      <c r="AS117" s="1">
        <v>1191942.1857481604</v>
      </c>
      <c r="AT117" s="1">
        <v>595971.0928740802</v>
      </c>
      <c r="AU117" s="1">
        <v>2763138.7033252805</v>
      </c>
      <c r="AV117" s="1">
        <v>137073.35136103845</v>
      </c>
      <c r="AW117" s="1">
        <v>95355.37485985283</v>
      </c>
      <c r="AX117" s="1">
        <v>393340.9212968929</v>
      </c>
      <c r="AY117" s="1">
        <f t="shared" si="115"/>
        <v>25084.423299070037</v>
      </c>
      <c r="AZ117" s="1">
        <f t="shared" si="116"/>
        <v>14663.35048370438</v>
      </c>
      <c r="BA117" s="1">
        <f t="shared" si="117"/>
        <v>34626.53792203628</v>
      </c>
      <c r="BB117" s="1">
        <f t="shared" si="118"/>
        <v>7950.254378940231</v>
      </c>
      <c r="BC117" s="1">
        <f t="shared" si="119"/>
        <v>0</v>
      </c>
      <c r="BD117" s="1">
        <f t="shared" si="120"/>
        <v>19041.654262999746</v>
      </c>
      <c r="BE117" s="1">
        <f t="shared" si="143"/>
        <v>24673.203244986922</v>
      </c>
      <c r="BF117" s="1">
        <f t="shared" si="144"/>
        <v>11892.483964083696</v>
      </c>
      <c r="BG117" s="1">
        <f t="shared" si="145"/>
        <v>50481.373839243235</v>
      </c>
      <c r="BH117" s="1">
        <f t="shared" si="146"/>
        <v>10965.868108883076</v>
      </c>
      <c r="BI117" s="1">
        <f t="shared" si="147"/>
        <v>3925.7807829801413</v>
      </c>
      <c r="BJ117" s="1">
        <f t="shared" si="148"/>
        <v>35255.26597005909</v>
      </c>
      <c r="BL117" s="2">
        <v>0.87</v>
      </c>
      <c r="BM117" s="2">
        <v>0</v>
      </c>
      <c r="BO117" s="1">
        <f t="shared" si="121"/>
        <v>25084.423299070037</v>
      </c>
      <c r="BP117" s="1">
        <f t="shared" si="122"/>
        <v>14663.35048370438</v>
      </c>
      <c r="BQ117" s="1">
        <f t="shared" si="123"/>
        <v>34626.53792203628</v>
      </c>
      <c r="BR117" s="1">
        <f t="shared" si="124"/>
        <v>2416.8773311978302</v>
      </c>
      <c r="BS117" s="1">
        <f t="shared" si="125"/>
        <v>0</v>
      </c>
      <c r="BT117" s="1">
        <f t="shared" si="126"/>
        <v>5788.66289595192</v>
      </c>
      <c r="BU117" s="1">
        <f t="shared" si="127"/>
        <v>24673.203244986922</v>
      </c>
      <c r="BV117" s="1">
        <f t="shared" si="128"/>
        <v>11892.483964083696</v>
      </c>
      <c r="BW117" s="1">
        <f t="shared" si="129"/>
        <v>50481.373839243235</v>
      </c>
      <c r="BX117" s="1">
        <f t="shared" si="130"/>
        <v>10965.868108883076</v>
      </c>
      <c r="BY117" s="1">
        <f t="shared" si="131"/>
        <v>3925.7807829801413</v>
      </c>
      <c r="BZ117" s="1">
        <f t="shared" si="132"/>
        <v>35255.26597005909</v>
      </c>
      <c r="CA117" s="1">
        <f t="shared" si="133"/>
        <v>131539.97431329606</v>
      </c>
      <c r="CB117" s="1">
        <f t="shared" si="134"/>
        <v>95355.37485985283</v>
      </c>
      <c r="CC117" s="1">
        <f t="shared" si="135"/>
        <v>380087.9299298451</v>
      </c>
      <c r="CD117" s="1">
        <f t="shared" si="149"/>
        <v>1150462.5976841245</v>
      </c>
      <c r="CE117" s="1">
        <f t="shared" si="150"/>
        <v>575231.2988420622</v>
      </c>
      <c r="CF117" s="1">
        <f t="shared" si="151"/>
        <v>2666981.476449561</v>
      </c>
      <c r="CG117" t="s">
        <v>118</v>
      </c>
      <c r="CH117" s="7" t="s">
        <v>158</v>
      </c>
      <c r="CI117" s="1">
        <v>4057096</v>
      </c>
      <c r="CJ117" s="102">
        <v>3790.856</v>
      </c>
      <c r="CK117" s="1">
        <v>11172.87</v>
      </c>
      <c r="CL117" s="1">
        <f t="shared" si="136"/>
        <v>14963.726</v>
      </c>
      <c r="CM117" s="1">
        <v>3887.0126527231</v>
      </c>
      <c r="CN117" s="1">
        <v>11306.4648078613</v>
      </c>
      <c r="CO117" s="1">
        <f t="shared" si="137"/>
        <v>15193.477460584401</v>
      </c>
      <c r="CP117" s="1">
        <f t="shared" si="152"/>
        <v>5007.7701710086185</v>
      </c>
      <c r="CQ117" s="1">
        <f t="shared" si="153"/>
        <v>2651.2618168719778</v>
      </c>
      <c r="CR117" s="1">
        <f t="shared" si="154"/>
        <v>6922.148331042254</v>
      </c>
      <c r="CS117" s="1">
        <f t="shared" si="155"/>
        <v>1152.4947063726297</v>
      </c>
      <c r="CT117" s="1">
        <f t="shared" si="156"/>
        <v>142.48315990480432</v>
      </c>
      <c r="CU117" s="1">
        <f t="shared" si="157"/>
        <v>2225.272548515938</v>
      </c>
    </row>
    <row r="118" spans="1:99" ht="12.75">
      <c r="A118" t="s">
        <v>119</v>
      </c>
      <c r="B118" s="1">
        <v>21578876</v>
      </c>
      <c r="C118" s="8" t="s">
        <v>120</v>
      </c>
      <c r="D118" s="122">
        <v>18</v>
      </c>
      <c r="E118" s="111">
        <v>5.6</v>
      </c>
      <c r="F118" s="29">
        <v>59.5</v>
      </c>
      <c r="G118" s="112">
        <v>43</v>
      </c>
      <c r="H118" s="122">
        <v>4.7</v>
      </c>
      <c r="I118" s="1">
        <f t="shared" si="158"/>
        <v>3884197.68</v>
      </c>
      <c r="J118" s="1">
        <f t="shared" si="159"/>
        <v>1208417.0559999999</v>
      </c>
      <c r="K118" s="1">
        <f t="shared" si="160"/>
        <v>12839431.22</v>
      </c>
      <c r="L118" s="1">
        <f t="shared" si="161"/>
        <v>9278916.68</v>
      </c>
      <c r="M118" s="1">
        <f t="shared" si="162"/>
        <v>1014207.172</v>
      </c>
      <c r="N118" s="12">
        <f t="shared" si="138"/>
        <v>-0.031120000000000016</v>
      </c>
      <c r="O118" s="12">
        <f t="shared" si="139"/>
        <v>-0.012840000000000002</v>
      </c>
      <c r="P118" s="12">
        <f t="shared" si="140"/>
        <v>0.020790000000000006</v>
      </c>
      <c r="Q118" s="12">
        <f t="shared" si="141"/>
        <v>-0.07344000000000005</v>
      </c>
      <c r="R118" s="12">
        <f t="shared" si="142"/>
        <v>-0.078012</v>
      </c>
      <c r="S118" s="1">
        <f t="shared" si="100"/>
        <v>3918360.4933281597</v>
      </c>
      <c r="T118" s="2">
        <f t="shared" si="163"/>
        <v>0.18158316</v>
      </c>
      <c r="U118" s="1">
        <f t="shared" si="102"/>
        <v>450611.45673273836</v>
      </c>
      <c r="V118" s="1">
        <f t="shared" si="103"/>
        <v>274285.2345329712</v>
      </c>
      <c r="W118" s="1">
        <f t="shared" si="104"/>
        <v>137142.6172664856</v>
      </c>
      <c r="X118" s="1">
        <f t="shared" si="105"/>
        <v>635843.0436900696</v>
      </c>
      <c r="Y118" s="1">
        <f t="shared" si="106"/>
        <v>156734.4197331264</v>
      </c>
      <c r="Z118" s="1">
        <f t="shared" si="107"/>
        <v>78367.2098665632</v>
      </c>
      <c r="AA118" s="1">
        <f t="shared" si="108"/>
        <v>363338.8821086112</v>
      </c>
      <c r="AB118" s="1">
        <f t="shared" si="109"/>
        <v>1130055.1662758412</v>
      </c>
      <c r="AC118" s="1">
        <f t="shared" si="110"/>
        <v>565027.5831379206</v>
      </c>
      <c r="AD118" s="1">
        <f t="shared" si="111"/>
        <v>2619673.3400030863</v>
      </c>
      <c r="AE118" s="1">
        <f t="shared" si="112"/>
        <v>668864.1362111168</v>
      </c>
      <c r="AF118" s="1">
        <f t="shared" si="113"/>
        <v>334432.0681055584</v>
      </c>
      <c r="AG118" s="1">
        <f t="shared" si="114"/>
        <v>1550548.679398498</v>
      </c>
      <c r="AH118"/>
      <c r="AI118"/>
      <c r="AJ118"/>
      <c r="AK118"/>
      <c r="AL118"/>
      <c r="AM118"/>
      <c r="AN118"/>
      <c r="AP118" t="s">
        <v>119</v>
      </c>
      <c r="AQ118" s="18" t="s">
        <v>225</v>
      </c>
      <c r="AR118" s="1">
        <v>21578876</v>
      </c>
      <c r="AS118" s="1">
        <v>3918360.4933281597</v>
      </c>
      <c r="AT118" s="1">
        <v>1959180.2466640798</v>
      </c>
      <c r="AU118" s="1">
        <v>9083472.05271528</v>
      </c>
      <c r="AV118" s="1">
        <v>450611.45673273836</v>
      </c>
      <c r="AW118" s="1">
        <v>313468.8394662528</v>
      </c>
      <c r="AX118" s="1">
        <v>1293058.9627982927</v>
      </c>
      <c r="AY118" s="1">
        <f t="shared" si="115"/>
        <v>82461.89658209111</v>
      </c>
      <c r="AZ118" s="1">
        <f t="shared" si="116"/>
        <v>48203.92626602718</v>
      </c>
      <c r="BA118" s="1">
        <f t="shared" si="117"/>
        <v>113830.40204191857</v>
      </c>
      <c r="BB118" s="1">
        <f t="shared" si="118"/>
        <v>26135.464490498827</v>
      </c>
      <c r="BC118" s="1">
        <f t="shared" si="119"/>
        <v>0</v>
      </c>
      <c r="BD118" s="1">
        <f t="shared" si="120"/>
        <v>62597.05100119374</v>
      </c>
      <c r="BE118" s="1">
        <f>AV118*0.22</f>
        <v>99134.52048120245</v>
      </c>
      <c r="BF118" s="1">
        <f>BE118*0.45</f>
        <v>44610.5342165411</v>
      </c>
      <c r="BG118" s="1">
        <f>BE118*2.121</f>
        <v>210264.3179406304</v>
      </c>
      <c r="BH118" s="1">
        <f>AV118*0.05</f>
        <v>22530.57283663692</v>
      </c>
      <c r="BI118" s="1">
        <f>BH118*0.286</f>
        <v>6443.743831278158</v>
      </c>
      <c r="BJ118" s="1">
        <f>BH118*4</f>
        <v>90122.29134654767</v>
      </c>
      <c r="BL118" s="2">
        <v>0</v>
      </c>
      <c r="BM118" s="2">
        <v>0</v>
      </c>
      <c r="BO118" s="1">
        <f t="shared" si="121"/>
        <v>82461.89658209111</v>
      </c>
      <c r="BP118" s="1">
        <f t="shared" si="122"/>
        <v>48203.92626602718</v>
      </c>
      <c r="BQ118" s="1">
        <f t="shared" si="123"/>
        <v>113830.40204191857</v>
      </c>
      <c r="BR118" s="1">
        <f t="shared" si="124"/>
        <v>26135.464490498827</v>
      </c>
      <c r="BS118" s="1">
        <f t="shared" si="125"/>
        <v>0</v>
      </c>
      <c r="BT118" s="1">
        <f t="shared" si="126"/>
        <v>62597.05100119374</v>
      </c>
      <c r="BU118" s="1">
        <f t="shared" si="127"/>
        <v>99134.52048120245</v>
      </c>
      <c r="BV118" s="1">
        <f t="shared" si="128"/>
        <v>44610.5342165411</v>
      </c>
      <c r="BW118" s="1">
        <f t="shared" si="129"/>
        <v>210264.3179406304</v>
      </c>
      <c r="BX118" s="1">
        <f t="shared" si="130"/>
        <v>22530.57283663692</v>
      </c>
      <c r="BY118" s="1">
        <f t="shared" si="131"/>
        <v>6443.743831278158</v>
      </c>
      <c r="BZ118" s="1">
        <f t="shared" si="132"/>
        <v>90122.29134654767</v>
      </c>
      <c r="CA118" s="1">
        <f t="shared" si="133"/>
        <v>450611.45673273836</v>
      </c>
      <c r="CB118" s="1">
        <f t="shared" si="134"/>
        <v>313468.8394662528</v>
      </c>
      <c r="CC118" s="1">
        <f t="shared" si="135"/>
        <v>1293058.9627982927</v>
      </c>
      <c r="CD118" s="1">
        <f t="shared" si="149"/>
        <v>3918360.4933281597</v>
      </c>
      <c r="CE118" s="1">
        <f t="shared" si="150"/>
        <v>1959180.2466640798</v>
      </c>
      <c r="CF118" s="1">
        <f t="shared" si="151"/>
        <v>9083472.05271528</v>
      </c>
      <c r="CG118" t="s">
        <v>119</v>
      </c>
      <c r="CH118" s="18" t="s">
        <v>225</v>
      </c>
      <c r="CI118" s="1">
        <v>21578876</v>
      </c>
      <c r="CJ118" s="102">
        <v>3201.055</v>
      </c>
      <c r="CK118" s="1">
        <v>18671.2</v>
      </c>
      <c r="CL118" s="1">
        <f t="shared" si="136"/>
        <v>21872.255</v>
      </c>
      <c r="CM118" s="1">
        <v>2892.43603870361</v>
      </c>
      <c r="CN118" s="1">
        <v>16255.013468501</v>
      </c>
      <c r="CO118" s="1">
        <f t="shared" si="137"/>
        <v>19147.44950720461</v>
      </c>
      <c r="CP118" s="1">
        <f t="shared" si="152"/>
        <v>6310.999357574639</v>
      </c>
      <c r="CQ118" s="1">
        <f t="shared" si="153"/>
        <v>3341.229939007204</v>
      </c>
      <c r="CR118" s="1">
        <f t="shared" si="154"/>
        <v>8723.57799548242</v>
      </c>
      <c r="CS118" s="1">
        <f t="shared" si="155"/>
        <v>4070.7477652316998</v>
      </c>
      <c r="CT118" s="1">
        <f t="shared" si="156"/>
        <v>578.2529751175792</v>
      </c>
      <c r="CU118" s="1">
        <f t="shared" si="157"/>
        <v>6908.399782199423</v>
      </c>
    </row>
    <row r="119" spans="1:99" ht="12.75">
      <c r="A119" t="s">
        <v>121</v>
      </c>
      <c r="B119" s="1">
        <v>1892699</v>
      </c>
      <c r="C119" s="8" t="s">
        <v>120</v>
      </c>
      <c r="D119" s="122">
        <v>21</v>
      </c>
      <c r="E119" s="122">
        <v>17</v>
      </c>
      <c r="F119" s="123">
        <v>24</v>
      </c>
      <c r="G119" s="122">
        <v>80</v>
      </c>
      <c r="H119" s="107">
        <v>4.7</v>
      </c>
      <c r="I119" s="1">
        <f t="shared" si="158"/>
        <v>397466.79</v>
      </c>
      <c r="J119" s="1">
        <f t="shared" si="159"/>
        <v>321758.83</v>
      </c>
      <c r="K119" s="1">
        <f t="shared" si="160"/>
        <v>454247.76</v>
      </c>
      <c r="L119" s="1">
        <f t="shared" si="161"/>
        <v>1514159.2</v>
      </c>
      <c r="M119" s="1">
        <f t="shared" si="162"/>
        <v>88956.853</v>
      </c>
      <c r="N119" s="12">
        <f t="shared" si="138"/>
        <v>-0.007120000000000015</v>
      </c>
      <c r="O119" s="12">
        <f t="shared" si="139"/>
        <v>0.032760000000000004</v>
      </c>
      <c r="P119" s="12">
        <f t="shared" si="140"/>
        <v>-0.08570999999999998</v>
      </c>
      <c r="Q119" s="12">
        <f t="shared" si="141"/>
        <v>0.22256</v>
      </c>
      <c r="R119" s="12">
        <f t="shared" si="142"/>
        <v>-0.078012</v>
      </c>
      <c r="S119" s="1">
        <f t="shared" si="100"/>
        <v>451569.89374684</v>
      </c>
      <c r="T119" s="2">
        <f t="shared" si="163"/>
        <v>0.23858516000000002</v>
      </c>
      <c r="U119" s="1">
        <f t="shared" si="102"/>
        <v>51930.5377808866</v>
      </c>
      <c r="V119" s="1">
        <f t="shared" si="103"/>
        <v>31609.892562278805</v>
      </c>
      <c r="W119" s="1">
        <f t="shared" si="104"/>
        <v>15804.946281139402</v>
      </c>
      <c r="X119" s="1">
        <f t="shared" si="105"/>
        <v>73277.4782125554</v>
      </c>
      <c r="Y119" s="1">
        <f t="shared" si="106"/>
        <v>3757.0615159737063</v>
      </c>
      <c r="Z119" s="1">
        <f t="shared" si="107"/>
        <v>1878.5307579868531</v>
      </c>
      <c r="AA119" s="1">
        <f t="shared" si="108"/>
        <v>8709.55169612087</v>
      </c>
      <c r="AB119" s="1">
        <f t="shared" si="109"/>
        <v>125075.54016526775</v>
      </c>
      <c r="AC119" s="1">
        <f t="shared" si="110"/>
        <v>62537.77008263388</v>
      </c>
      <c r="AD119" s="1">
        <f t="shared" si="111"/>
        <v>289947.8431103934</v>
      </c>
      <c r="AE119" s="1">
        <f t="shared" si="112"/>
        <v>74030.4948204272</v>
      </c>
      <c r="AF119" s="1">
        <f t="shared" si="113"/>
        <v>37015.2474102136</v>
      </c>
      <c r="AG119" s="1">
        <f t="shared" si="114"/>
        <v>171616.1470837176</v>
      </c>
      <c r="AH119"/>
      <c r="AI119"/>
      <c r="AJ119"/>
      <c r="AK119"/>
      <c r="AL119"/>
      <c r="AM119"/>
      <c r="AN119"/>
      <c r="AP119" t="s">
        <v>121</v>
      </c>
      <c r="AQ119" s="18" t="s">
        <v>225</v>
      </c>
      <c r="AR119" s="1">
        <v>1892699</v>
      </c>
      <c r="AS119" s="1">
        <v>451569.89374684</v>
      </c>
      <c r="AT119" s="1">
        <v>225784.94687342</v>
      </c>
      <c r="AU119" s="1">
        <v>1046821.11732222</v>
      </c>
      <c r="AV119" s="1">
        <v>51930.5377808866</v>
      </c>
      <c r="AW119" s="1">
        <v>36125.5914997472</v>
      </c>
      <c r="AX119" s="1">
        <v>149018.0649364572</v>
      </c>
      <c r="AY119" s="1">
        <f t="shared" si="115"/>
        <v>9503.288413902248</v>
      </c>
      <c r="AZ119" s="1">
        <f t="shared" si="116"/>
        <v>5555.2422752306975</v>
      </c>
      <c r="BA119" s="1">
        <f t="shared" si="117"/>
        <v>13118.339326550664</v>
      </c>
      <c r="BB119" s="1">
        <f t="shared" si="118"/>
        <v>3011.971191291423</v>
      </c>
      <c r="BC119" s="1">
        <f t="shared" si="119"/>
        <v>0</v>
      </c>
      <c r="BD119" s="1">
        <f t="shared" si="120"/>
        <v>7213.9722002620865</v>
      </c>
      <c r="BE119" s="1">
        <f aca="true" t="shared" si="164" ref="BE119:BE128">AV119*0.22</f>
        <v>11424.718311795054</v>
      </c>
      <c r="BF119" s="1">
        <f aca="true" t="shared" si="165" ref="BF119:BF128">BE119*0.45</f>
        <v>5141.123240307774</v>
      </c>
      <c r="BG119" s="1">
        <f aca="true" t="shared" si="166" ref="BG119:BG128">BE119*2.121</f>
        <v>24231.82753931731</v>
      </c>
      <c r="BH119" s="1">
        <f aca="true" t="shared" si="167" ref="BH119:BH128">AV119*0.05</f>
        <v>2596.5268890443303</v>
      </c>
      <c r="BI119" s="1">
        <f aca="true" t="shared" si="168" ref="BI119:BI128">BH119*0.286</f>
        <v>742.6066902666785</v>
      </c>
      <c r="BJ119" s="1">
        <f aca="true" t="shared" si="169" ref="BJ119:BJ128">BH119*4</f>
        <v>10386.107556177321</v>
      </c>
      <c r="BL119" s="2">
        <v>0.99</v>
      </c>
      <c r="BM119" s="2">
        <v>0</v>
      </c>
      <c r="BO119" s="1">
        <f t="shared" si="121"/>
        <v>9503.288413902248</v>
      </c>
      <c r="BP119" s="1">
        <f t="shared" si="122"/>
        <v>5555.2422752306975</v>
      </c>
      <c r="BQ119" s="1">
        <f t="shared" si="123"/>
        <v>13118.339326550664</v>
      </c>
      <c r="BR119" s="1">
        <f t="shared" si="124"/>
        <v>626.4900077886159</v>
      </c>
      <c r="BS119" s="1">
        <f t="shared" si="125"/>
        <v>0</v>
      </c>
      <c r="BT119" s="1">
        <f t="shared" si="126"/>
        <v>1500.5062176545134</v>
      </c>
      <c r="BU119" s="1">
        <f t="shared" si="127"/>
        <v>11424.718311795054</v>
      </c>
      <c r="BV119" s="1">
        <f t="shared" si="128"/>
        <v>5141.123240307774</v>
      </c>
      <c r="BW119" s="1">
        <f t="shared" si="129"/>
        <v>24231.82753931731</v>
      </c>
      <c r="BX119" s="1">
        <f t="shared" si="130"/>
        <v>2596.5268890443303</v>
      </c>
      <c r="BY119" s="1">
        <f t="shared" si="131"/>
        <v>742.6066902666785</v>
      </c>
      <c r="BZ119" s="1">
        <f t="shared" si="132"/>
        <v>10386.107556177321</v>
      </c>
      <c r="CA119" s="1">
        <f t="shared" si="133"/>
        <v>49545.056597383795</v>
      </c>
      <c r="CB119" s="1">
        <f t="shared" si="134"/>
        <v>36125.5914997472</v>
      </c>
      <c r="CC119" s="1">
        <f t="shared" si="135"/>
        <v>143304.59895384964</v>
      </c>
      <c r="CD119" s="1">
        <f t="shared" si="149"/>
        <v>433687.72595446516</v>
      </c>
      <c r="CE119" s="1">
        <f t="shared" si="150"/>
        <v>216843.86297723258</v>
      </c>
      <c r="CF119" s="1">
        <f t="shared" si="151"/>
        <v>1005367.0010762601</v>
      </c>
      <c r="CG119" t="s">
        <v>121</v>
      </c>
      <c r="CH119" s="18" t="s">
        <v>225</v>
      </c>
      <c r="CI119" s="1">
        <v>1892699</v>
      </c>
      <c r="CJ119" s="102">
        <v>66.60949</v>
      </c>
      <c r="CK119" s="1">
        <v>359.3933</v>
      </c>
      <c r="CL119" s="1">
        <f t="shared" si="136"/>
        <v>426.00279</v>
      </c>
      <c r="CM119" s="1">
        <v>49.2951491559112</v>
      </c>
      <c r="CN119" s="1">
        <v>248.849625750236</v>
      </c>
      <c r="CO119" s="1">
        <f t="shared" si="137"/>
        <v>298.1447749061472</v>
      </c>
      <c r="CP119" s="1">
        <f t="shared" si="152"/>
        <v>98.26851780906611</v>
      </c>
      <c r="CQ119" s="1">
        <f t="shared" si="153"/>
        <v>52.026263221122676</v>
      </c>
      <c r="CR119" s="1">
        <f t="shared" si="154"/>
        <v>135.83475944724066</v>
      </c>
      <c r="CS119" s="1">
        <f t="shared" si="155"/>
        <v>15.853620378626589</v>
      </c>
      <c r="CT119" s="1">
        <f t="shared" si="156"/>
        <v>1.918718904290844</v>
      </c>
      <c r="CU119" s="1">
        <f t="shared" si="157"/>
        <v>31.326293048892776</v>
      </c>
    </row>
    <row r="120" spans="1:99" ht="12.75">
      <c r="A120" t="s">
        <v>122</v>
      </c>
      <c r="B120" s="1">
        <v>4360687</v>
      </c>
      <c r="C120" s="8" t="s">
        <v>120</v>
      </c>
      <c r="D120" s="122">
        <v>7</v>
      </c>
      <c r="E120" s="122">
        <v>7</v>
      </c>
      <c r="F120" s="123">
        <v>85</v>
      </c>
      <c r="G120" s="122">
        <v>25</v>
      </c>
      <c r="H120" s="107">
        <v>4.7</v>
      </c>
      <c r="I120" s="1">
        <f t="shared" si="158"/>
        <v>305248.09</v>
      </c>
      <c r="J120" s="1">
        <f t="shared" si="159"/>
        <v>305248.09</v>
      </c>
      <c r="K120" s="1">
        <f t="shared" si="160"/>
        <v>3706583.95</v>
      </c>
      <c r="L120" s="1">
        <f t="shared" si="161"/>
        <v>1090171.75</v>
      </c>
      <c r="M120" s="1">
        <f t="shared" si="162"/>
        <v>204952.28900000002</v>
      </c>
      <c r="N120" s="12">
        <f t="shared" si="138"/>
        <v>-0.11912</v>
      </c>
      <c r="O120" s="12">
        <f t="shared" si="139"/>
        <v>-0.0072399999999999964</v>
      </c>
      <c r="P120" s="12">
        <f t="shared" si="140"/>
        <v>0.09729</v>
      </c>
      <c r="Q120" s="12">
        <f t="shared" si="141"/>
        <v>-0.21744000000000005</v>
      </c>
      <c r="R120" s="12">
        <f t="shared" si="142"/>
        <v>-0.078012</v>
      </c>
      <c r="S120" s="1">
        <f t="shared" si="100"/>
        <v>648020.5893449199</v>
      </c>
      <c r="T120" s="2">
        <f t="shared" si="163"/>
        <v>0.14860516</v>
      </c>
      <c r="U120" s="1">
        <f t="shared" si="102"/>
        <v>74522.36777466579</v>
      </c>
      <c r="V120" s="1">
        <f t="shared" si="103"/>
        <v>45361.441254144396</v>
      </c>
      <c r="W120" s="1">
        <f t="shared" si="104"/>
        <v>22680.720627072198</v>
      </c>
      <c r="X120" s="1">
        <f t="shared" si="105"/>
        <v>105156.0683618802</v>
      </c>
      <c r="Y120" s="1">
        <f t="shared" si="106"/>
        <v>25920.823573796795</v>
      </c>
      <c r="Z120" s="1">
        <f t="shared" si="107"/>
        <v>12960.411786898398</v>
      </c>
      <c r="AA120" s="1">
        <f t="shared" si="108"/>
        <v>60089.18192107439</v>
      </c>
      <c r="AB120" s="1">
        <f t="shared" si="109"/>
        <v>186889.1379670749</v>
      </c>
      <c r="AC120" s="1">
        <f t="shared" si="110"/>
        <v>93444.56898353745</v>
      </c>
      <c r="AD120" s="1">
        <f t="shared" si="111"/>
        <v>433243.00165094633</v>
      </c>
      <c r="AE120" s="1">
        <f t="shared" si="112"/>
        <v>110617.11460117782</v>
      </c>
      <c r="AF120" s="1">
        <f t="shared" si="113"/>
        <v>55308.55730058891</v>
      </c>
      <c r="AG120" s="1">
        <f t="shared" si="114"/>
        <v>256430.58384818494</v>
      </c>
      <c r="AH120"/>
      <c r="AI120"/>
      <c r="AJ120"/>
      <c r="AK120"/>
      <c r="AL120"/>
      <c r="AM120"/>
      <c r="AN120"/>
      <c r="AP120" t="s">
        <v>122</v>
      </c>
      <c r="AQ120" s="18" t="s">
        <v>225</v>
      </c>
      <c r="AR120" s="1">
        <v>4360687</v>
      </c>
      <c r="AS120" s="1">
        <v>648020.5893449199</v>
      </c>
      <c r="AT120" s="1">
        <v>324010.29467245995</v>
      </c>
      <c r="AU120" s="1">
        <v>1502229.5480268598</v>
      </c>
      <c r="AV120" s="1">
        <v>74522.36777466579</v>
      </c>
      <c r="AW120" s="1">
        <v>51841.64714759359</v>
      </c>
      <c r="AX120" s="1">
        <v>213846.79448382359</v>
      </c>
      <c r="AY120" s="1">
        <f t="shared" si="115"/>
        <v>13637.59330276384</v>
      </c>
      <c r="AZ120" s="1">
        <f t="shared" si="116"/>
        <v>7971.99154106363</v>
      </c>
      <c r="BA120" s="1">
        <f t="shared" si="117"/>
        <v>18825.333795135208</v>
      </c>
      <c r="BB120" s="1">
        <f t="shared" si="118"/>
        <v>4322.297330930616</v>
      </c>
      <c r="BC120" s="1">
        <f t="shared" si="119"/>
        <v>0</v>
      </c>
      <c r="BD120" s="1">
        <f t="shared" si="120"/>
        <v>10352.334337311919</v>
      </c>
      <c r="BE120" s="1">
        <f t="shared" si="164"/>
        <v>16394.920910426474</v>
      </c>
      <c r="BF120" s="1">
        <f t="shared" si="165"/>
        <v>7377.714409691914</v>
      </c>
      <c r="BG120" s="1">
        <f t="shared" si="166"/>
        <v>34773.62725101455</v>
      </c>
      <c r="BH120" s="1">
        <f t="shared" si="167"/>
        <v>3726.11838873329</v>
      </c>
      <c r="BI120" s="1">
        <f t="shared" si="168"/>
        <v>1065.6698591777208</v>
      </c>
      <c r="BJ120" s="1">
        <f t="shared" si="169"/>
        <v>14904.47355493316</v>
      </c>
      <c r="BL120" s="2">
        <v>0</v>
      </c>
      <c r="BM120" s="2">
        <v>0</v>
      </c>
      <c r="BO120" s="1">
        <f t="shared" si="121"/>
        <v>13637.59330276384</v>
      </c>
      <c r="BP120" s="1">
        <f t="shared" si="122"/>
        <v>7971.99154106363</v>
      </c>
      <c r="BQ120" s="1">
        <f t="shared" si="123"/>
        <v>18825.333795135208</v>
      </c>
      <c r="BR120" s="1">
        <f t="shared" si="124"/>
        <v>4322.297330930616</v>
      </c>
      <c r="BS120" s="1">
        <f t="shared" si="125"/>
        <v>0</v>
      </c>
      <c r="BT120" s="1">
        <f t="shared" si="126"/>
        <v>10352.334337311919</v>
      </c>
      <c r="BU120" s="1">
        <f t="shared" si="127"/>
        <v>16394.920910426474</v>
      </c>
      <c r="BV120" s="1">
        <f t="shared" si="128"/>
        <v>7377.714409691914</v>
      </c>
      <c r="BW120" s="1">
        <f t="shared" si="129"/>
        <v>34773.62725101455</v>
      </c>
      <c r="BX120" s="1">
        <f t="shared" si="130"/>
        <v>3726.11838873329</v>
      </c>
      <c r="BY120" s="1">
        <f t="shared" si="131"/>
        <v>1065.6698591777208</v>
      </c>
      <c r="BZ120" s="1">
        <f t="shared" si="132"/>
        <v>14904.47355493316</v>
      </c>
      <c r="CA120" s="1">
        <f t="shared" si="133"/>
        <v>74522.36777466579</v>
      </c>
      <c r="CB120" s="1">
        <f t="shared" si="134"/>
        <v>51841.64714759359</v>
      </c>
      <c r="CC120" s="1">
        <f t="shared" si="135"/>
        <v>213846.79448382359</v>
      </c>
      <c r="CD120" s="1">
        <f t="shared" si="149"/>
        <v>648020.5893449199</v>
      </c>
      <c r="CE120" s="1">
        <f t="shared" si="150"/>
        <v>324010.29467245995</v>
      </c>
      <c r="CF120" s="1">
        <f t="shared" si="151"/>
        <v>1502229.5480268598</v>
      </c>
      <c r="CG120" t="s">
        <v>122</v>
      </c>
      <c r="CH120" s="18" t="s">
        <v>225</v>
      </c>
      <c r="CI120" s="1">
        <v>4360687</v>
      </c>
      <c r="CJ120" s="102">
        <v>273.5646</v>
      </c>
      <c r="CK120" s="1">
        <v>710.3339</v>
      </c>
      <c r="CL120" s="1">
        <f t="shared" si="136"/>
        <v>983.8985</v>
      </c>
      <c r="CM120" s="1">
        <v>258.348189359129</v>
      </c>
      <c r="CN120" s="1">
        <v>644.386686459962</v>
      </c>
      <c r="CO120" s="1">
        <f t="shared" si="137"/>
        <v>902.734875819091</v>
      </c>
      <c r="CP120" s="1">
        <f t="shared" si="152"/>
        <v>297.5414150699724</v>
      </c>
      <c r="CQ120" s="1">
        <f t="shared" si="153"/>
        <v>157.52723583043138</v>
      </c>
      <c r="CR120" s="1">
        <f t="shared" si="154"/>
        <v>411.28600942317786</v>
      </c>
      <c r="CS120" s="1">
        <f t="shared" si="155"/>
        <v>191.92143459913876</v>
      </c>
      <c r="CT120" s="1">
        <f t="shared" si="156"/>
        <v>27.26259324973655</v>
      </c>
      <c r="CU120" s="1">
        <f t="shared" si="157"/>
        <v>325.7067431955281</v>
      </c>
    </row>
    <row r="121" spans="1:99" ht="12.75">
      <c r="A121" t="s">
        <v>274</v>
      </c>
      <c r="B121" s="1">
        <v>192839</v>
      </c>
      <c r="C121" s="8" t="s">
        <v>120</v>
      </c>
      <c r="D121" s="122">
        <v>43.8</v>
      </c>
      <c r="E121" s="123">
        <v>2.8</v>
      </c>
      <c r="F121" s="123">
        <v>37.9</v>
      </c>
      <c r="G121" s="124">
        <v>97.4</v>
      </c>
      <c r="H121" s="124">
        <v>24.6</v>
      </c>
      <c r="I121" s="1">
        <f>(B121*D121)/100</f>
        <v>84463.48199999999</v>
      </c>
      <c r="J121" s="1">
        <f>(B121*E121)/100</f>
        <v>5399.491999999999</v>
      </c>
      <c r="K121" s="1">
        <f>(B121*F121)/100</f>
        <v>73085.981</v>
      </c>
      <c r="L121" s="1">
        <f>(B121*G121)/100</f>
        <v>187825.18600000002</v>
      </c>
      <c r="M121" s="1">
        <f>(B121*H121)/100</f>
        <v>47438.394</v>
      </c>
      <c r="N121" s="12">
        <f t="shared" si="138"/>
        <v>0.17527999999999996</v>
      </c>
      <c r="O121" s="12">
        <f t="shared" si="139"/>
        <v>-0.024040000000000002</v>
      </c>
      <c r="P121" s="12">
        <f t="shared" si="140"/>
        <v>-0.04400999999999998</v>
      </c>
      <c r="Q121" s="12">
        <f t="shared" si="141"/>
        <v>0.3617600000000001</v>
      </c>
      <c r="R121" s="12">
        <f t="shared" si="142"/>
        <v>0.11899800000000003</v>
      </c>
      <c r="S121" s="1">
        <f t="shared" si="100"/>
        <v>67369.72394504</v>
      </c>
      <c r="T121" s="2">
        <f>S121/B121</f>
        <v>0.34935735999999995</v>
      </c>
      <c r="U121" s="1">
        <f t="shared" si="102"/>
        <v>7747.518253679599</v>
      </c>
      <c r="V121" s="1">
        <f t="shared" si="103"/>
        <v>4715.8806761528</v>
      </c>
      <c r="W121" s="1">
        <f t="shared" si="104"/>
        <v>2357.9403380764</v>
      </c>
      <c r="X121" s="1">
        <f t="shared" si="105"/>
        <v>10932.2688401724</v>
      </c>
      <c r="Y121" s="1">
        <f t="shared" si="106"/>
        <v>2694.7889578015997</v>
      </c>
      <c r="Z121" s="1">
        <f t="shared" si="107"/>
        <v>1347.3944789007999</v>
      </c>
      <c r="AA121" s="1">
        <f t="shared" si="108"/>
        <v>6247.0107658128</v>
      </c>
      <c r="AB121" s="1">
        <f t="shared" si="109"/>
        <v>19429.428385749532</v>
      </c>
      <c r="AC121" s="1">
        <f t="shared" si="110"/>
        <v>9714.714192874766</v>
      </c>
      <c r="AD121" s="1">
        <f t="shared" si="111"/>
        <v>45040.947621510284</v>
      </c>
      <c r="AE121" s="1">
        <f t="shared" si="112"/>
        <v>11500.011877418327</v>
      </c>
      <c r="AF121" s="1">
        <f t="shared" si="113"/>
        <v>5750.005938709163</v>
      </c>
      <c r="AG121" s="1">
        <f t="shared" si="114"/>
        <v>26659.118443106123</v>
      </c>
      <c r="AH121"/>
      <c r="AI121"/>
      <c r="AJ121"/>
      <c r="AK121"/>
      <c r="AL121"/>
      <c r="AM121"/>
      <c r="AN121"/>
      <c r="AP121" t="s">
        <v>274</v>
      </c>
      <c r="AQ121" s="18" t="s">
        <v>225</v>
      </c>
      <c r="AR121" s="1">
        <v>192839</v>
      </c>
      <c r="AS121" s="1">
        <v>67369.72394504</v>
      </c>
      <c r="AT121" s="1">
        <v>33684.86197252</v>
      </c>
      <c r="AU121" s="1">
        <v>156175.26914532</v>
      </c>
      <c r="AV121" s="1">
        <v>7747.518253679599</v>
      </c>
      <c r="AW121" s="1">
        <v>5389.5779156031995</v>
      </c>
      <c r="AX121" s="1">
        <v>22232.0089018632</v>
      </c>
      <c r="AY121" s="1">
        <f t="shared" si="115"/>
        <v>1417.7958404233666</v>
      </c>
      <c r="AZ121" s="1">
        <f t="shared" si="116"/>
        <v>828.7867364778831</v>
      </c>
      <c r="BA121" s="1">
        <f t="shared" si="117"/>
        <v>1957.1253781204155</v>
      </c>
      <c r="BB121" s="1">
        <f t="shared" si="118"/>
        <v>449.35605871341676</v>
      </c>
      <c r="BC121" s="1">
        <f t="shared" si="119"/>
        <v>0</v>
      </c>
      <c r="BD121" s="1">
        <f t="shared" si="120"/>
        <v>1076.2526962245045</v>
      </c>
      <c r="BE121" s="1">
        <f t="shared" si="164"/>
        <v>1704.454015809512</v>
      </c>
      <c r="BF121" s="1">
        <f t="shared" si="165"/>
        <v>767.0043071142804</v>
      </c>
      <c r="BG121" s="1">
        <f t="shared" si="166"/>
        <v>3615.146967531975</v>
      </c>
      <c r="BH121" s="1">
        <f t="shared" si="167"/>
        <v>387.37591268398</v>
      </c>
      <c r="BI121" s="1">
        <f t="shared" si="168"/>
        <v>110.78951102761827</v>
      </c>
      <c r="BJ121" s="1">
        <f t="shared" si="169"/>
        <v>1549.50365073592</v>
      </c>
      <c r="BL121" s="2">
        <v>0</v>
      </c>
      <c r="BM121" s="2">
        <v>0</v>
      </c>
      <c r="BO121" s="1">
        <f t="shared" si="121"/>
        <v>1417.7958404233666</v>
      </c>
      <c r="BP121" s="1">
        <f t="shared" si="122"/>
        <v>828.7867364778831</v>
      </c>
      <c r="BQ121" s="1">
        <f t="shared" si="123"/>
        <v>1957.1253781204155</v>
      </c>
      <c r="BR121" s="1">
        <f t="shared" si="124"/>
        <v>449.35605871341676</v>
      </c>
      <c r="BS121" s="1">
        <f t="shared" si="125"/>
        <v>0</v>
      </c>
      <c r="BT121" s="1">
        <f t="shared" si="126"/>
        <v>1076.2526962245045</v>
      </c>
      <c r="BU121" s="1">
        <f t="shared" si="127"/>
        <v>1704.454015809512</v>
      </c>
      <c r="BV121" s="1">
        <f t="shared" si="128"/>
        <v>767.0043071142804</v>
      </c>
      <c r="BW121" s="1">
        <f t="shared" si="129"/>
        <v>3615.146967531975</v>
      </c>
      <c r="BX121" s="1">
        <f t="shared" si="130"/>
        <v>387.37591268398</v>
      </c>
      <c r="BY121" s="1">
        <f t="shared" si="131"/>
        <v>110.78951102761827</v>
      </c>
      <c r="BZ121" s="1">
        <f t="shared" si="132"/>
        <v>1549.50365073592</v>
      </c>
      <c r="CA121" s="1">
        <f t="shared" si="133"/>
        <v>7747.518253679599</v>
      </c>
      <c r="CB121" s="1">
        <f t="shared" si="134"/>
        <v>5389.5779156031995</v>
      </c>
      <c r="CC121" s="1">
        <f t="shared" si="135"/>
        <v>22232.0089018632</v>
      </c>
      <c r="CD121" s="1">
        <f t="shared" si="149"/>
        <v>67369.72394504</v>
      </c>
      <c r="CE121" s="1">
        <f t="shared" si="150"/>
        <v>33684.86197252</v>
      </c>
      <c r="CF121" s="1">
        <f t="shared" si="151"/>
        <v>156175.26914532</v>
      </c>
      <c r="CG121" t="s">
        <v>274</v>
      </c>
      <c r="CH121" s="18" t="s">
        <v>225</v>
      </c>
      <c r="CI121" s="1">
        <v>192839</v>
      </c>
      <c r="CJ121" s="102">
        <v>65.59978</v>
      </c>
      <c r="CK121" s="1">
        <v>426.862</v>
      </c>
      <c r="CL121" s="1">
        <f t="shared" si="136"/>
        <v>492.46178000000003</v>
      </c>
      <c r="CM121" s="1">
        <v>66.3516399426934</v>
      </c>
      <c r="CN121" s="1">
        <v>422.230252849955</v>
      </c>
      <c r="CO121" s="1">
        <f t="shared" si="137"/>
        <v>488.5818927926484</v>
      </c>
      <c r="CP121" s="1">
        <f t="shared" si="152"/>
        <v>161.0365918644569</v>
      </c>
      <c r="CQ121" s="1">
        <f t="shared" si="153"/>
        <v>85.25754029231713</v>
      </c>
      <c r="CR121" s="1">
        <f t="shared" si="154"/>
        <v>222.5979103563306</v>
      </c>
      <c r="CS121" s="1">
        <f t="shared" si="155"/>
        <v>103.87251040771704</v>
      </c>
      <c r="CT121" s="1">
        <f t="shared" si="156"/>
        <v>14.755173162337982</v>
      </c>
      <c r="CU121" s="1">
        <f t="shared" si="157"/>
        <v>176.28034691958754</v>
      </c>
    </row>
    <row r="122" spans="1:99" ht="12.75">
      <c r="A122" t="s">
        <v>123</v>
      </c>
      <c r="B122" s="1">
        <v>14707333</v>
      </c>
      <c r="C122" s="11" t="s">
        <v>124</v>
      </c>
      <c r="D122" s="29">
        <v>40.8</v>
      </c>
      <c r="E122" s="122">
        <v>22</v>
      </c>
      <c r="F122" s="29">
        <v>42.2</v>
      </c>
      <c r="G122" s="112">
        <v>91.2</v>
      </c>
      <c r="H122" s="124">
        <v>8.1</v>
      </c>
      <c r="I122" s="1">
        <f t="shared" si="158"/>
        <v>6000591.864</v>
      </c>
      <c r="J122" s="1">
        <f t="shared" si="159"/>
        <v>3235613.26</v>
      </c>
      <c r="K122" s="1">
        <f t="shared" si="160"/>
        <v>6206494.526000001</v>
      </c>
      <c r="L122" s="1">
        <f t="shared" si="161"/>
        <v>13413087.696000002</v>
      </c>
      <c r="M122" s="1">
        <f t="shared" si="162"/>
        <v>1191293.973</v>
      </c>
      <c r="N122" s="12">
        <f t="shared" si="138"/>
        <v>0.15127999999999997</v>
      </c>
      <c r="O122" s="12">
        <f t="shared" si="139"/>
        <v>0.05276000000000001</v>
      </c>
      <c r="P122" s="12">
        <f t="shared" si="140"/>
        <v>-0.03110999999999997</v>
      </c>
      <c r="Q122" s="12">
        <f t="shared" si="141"/>
        <v>0.31216</v>
      </c>
      <c r="R122" s="12">
        <f t="shared" si="142"/>
        <v>-0.044351999999999996</v>
      </c>
      <c r="S122" s="1">
        <f t="shared" si="100"/>
        <v>4661670.976985879</v>
      </c>
      <c r="T122" s="2">
        <f t="shared" si="163"/>
        <v>0.31696235999999994</v>
      </c>
      <c r="U122" s="1">
        <f t="shared" si="102"/>
        <v>536092.1623533762</v>
      </c>
      <c r="V122" s="1">
        <f t="shared" si="103"/>
        <v>326316.96838901157</v>
      </c>
      <c r="W122" s="1">
        <f t="shared" si="104"/>
        <v>163158.48419450579</v>
      </c>
      <c r="X122" s="1">
        <f t="shared" si="105"/>
        <v>756462.0630836178</v>
      </c>
      <c r="Y122" s="1">
        <f t="shared" si="106"/>
        <v>44752.04137906444</v>
      </c>
      <c r="Z122" s="1">
        <f t="shared" si="107"/>
        <v>22376.02068953222</v>
      </c>
      <c r="AA122" s="1">
        <f t="shared" si="108"/>
        <v>103743.36865146761</v>
      </c>
      <c r="AB122" s="1">
        <f t="shared" si="109"/>
        <v>1293337.7251917438</v>
      </c>
      <c r="AC122" s="1">
        <f t="shared" si="110"/>
        <v>646668.8625958719</v>
      </c>
      <c r="AD122" s="1">
        <f t="shared" si="111"/>
        <v>2998191.9993081335</v>
      </c>
      <c r="AE122" s="1">
        <f t="shared" si="112"/>
        <v>765508.8408121729</v>
      </c>
      <c r="AF122" s="1">
        <f t="shared" si="113"/>
        <v>382754.4204060864</v>
      </c>
      <c r="AG122" s="1">
        <f t="shared" si="114"/>
        <v>1774588.676428219</v>
      </c>
      <c r="AH122"/>
      <c r="AI122"/>
      <c r="AJ122"/>
      <c r="AK122"/>
      <c r="AL122"/>
      <c r="AM122"/>
      <c r="AN122"/>
      <c r="AP122" t="s">
        <v>123</v>
      </c>
      <c r="AQ122" s="11" t="s">
        <v>228</v>
      </c>
      <c r="AR122" s="1">
        <v>14707333</v>
      </c>
      <c r="AS122" s="1">
        <v>4661670.976985879</v>
      </c>
      <c r="AT122" s="1">
        <v>2330835.4884929396</v>
      </c>
      <c r="AU122" s="1">
        <v>10806600.901194539</v>
      </c>
      <c r="AV122" s="1">
        <v>536092.1623533762</v>
      </c>
      <c r="AW122" s="1">
        <v>372933.6781588704</v>
      </c>
      <c r="AX122" s="1">
        <v>1538351.4224053402</v>
      </c>
      <c r="AY122" s="1">
        <f t="shared" si="115"/>
        <v>98104.86571066783</v>
      </c>
      <c r="AZ122" s="1">
        <f t="shared" si="116"/>
        <v>57348.18029982798</v>
      </c>
      <c r="BA122" s="1">
        <f t="shared" si="117"/>
        <v>135423.9566270059</v>
      </c>
      <c r="BB122" s="1">
        <f t="shared" si="118"/>
        <v>31093.34541649582</v>
      </c>
      <c r="BC122" s="1">
        <f t="shared" si="119"/>
        <v>0</v>
      </c>
      <c r="BD122" s="1">
        <f t="shared" si="120"/>
        <v>74471.67160704914</v>
      </c>
      <c r="BE122" s="1">
        <f t="shared" si="164"/>
        <v>117940.27571774276</v>
      </c>
      <c r="BF122" s="1">
        <f t="shared" si="165"/>
        <v>53073.12407298424</v>
      </c>
      <c r="BG122" s="1">
        <f t="shared" si="166"/>
        <v>250151.32479733237</v>
      </c>
      <c r="BH122" s="1">
        <f t="shared" si="167"/>
        <v>26804.60811766881</v>
      </c>
      <c r="BI122" s="1">
        <f t="shared" si="168"/>
        <v>7666.117921653279</v>
      </c>
      <c r="BJ122" s="1">
        <f t="shared" si="169"/>
        <v>107218.43247067524</v>
      </c>
      <c r="BL122" s="2">
        <v>0.95</v>
      </c>
      <c r="BM122" s="2">
        <v>0</v>
      </c>
      <c r="BO122" s="1">
        <f t="shared" si="121"/>
        <v>98104.86571066783</v>
      </c>
      <c r="BP122" s="1">
        <f t="shared" si="122"/>
        <v>57348.18029982798</v>
      </c>
      <c r="BQ122" s="1">
        <f t="shared" si="123"/>
        <v>135423.9566270059</v>
      </c>
      <c r="BR122" s="1">
        <f t="shared" si="124"/>
        <v>7462.402899958997</v>
      </c>
      <c r="BS122" s="1">
        <f t="shared" si="125"/>
        <v>0</v>
      </c>
      <c r="BT122" s="1">
        <f t="shared" si="126"/>
        <v>17873.20118569179</v>
      </c>
      <c r="BU122" s="1">
        <f t="shared" si="127"/>
        <v>117940.27571774276</v>
      </c>
      <c r="BV122" s="1">
        <f t="shared" si="128"/>
        <v>53073.12407298424</v>
      </c>
      <c r="BW122" s="1">
        <f t="shared" si="129"/>
        <v>250151.32479733237</v>
      </c>
      <c r="BX122" s="1">
        <f t="shared" si="130"/>
        <v>26804.60811766881</v>
      </c>
      <c r="BY122" s="1">
        <f t="shared" si="131"/>
        <v>7666.117921653279</v>
      </c>
      <c r="BZ122" s="1">
        <f t="shared" si="132"/>
        <v>107218.43247067524</v>
      </c>
      <c r="CA122" s="1">
        <f t="shared" si="133"/>
        <v>512461.21983683936</v>
      </c>
      <c r="CB122" s="1">
        <f t="shared" si="134"/>
        <v>372933.6781588704</v>
      </c>
      <c r="CC122" s="1">
        <f t="shared" si="135"/>
        <v>1481752.951983983</v>
      </c>
      <c r="CD122" s="1">
        <f t="shared" si="149"/>
        <v>4484527.479860416</v>
      </c>
      <c r="CE122" s="1">
        <f t="shared" si="150"/>
        <v>2242263.739930208</v>
      </c>
      <c r="CF122" s="1">
        <f t="shared" si="151"/>
        <v>10395950.066949146</v>
      </c>
      <c r="CG122" t="s">
        <v>123</v>
      </c>
      <c r="CH122" s="11" t="s">
        <v>228</v>
      </c>
      <c r="CI122" s="1">
        <v>14707333</v>
      </c>
      <c r="CJ122" s="102">
        <v>3841.211</v>
      </c>
      <c r="CK122" s="1">
        <v>15367.8</v>
      </c>
      <c r="CL122" s="1">
        <f t="shared" si="136"/>
        <v>19209.011</v>
      </c>
      <c r="CM122" s="1">
        <v>3684.87135402672</v>
      </c>
      <c r="CN122" s="1">
        <v>14625.0365590259</v>
      </c>
      <c r="CO122" s="1">
        <f t="shared" si="137"/>
        <v>18309.907913052622</v>
      </c>
      <c r="CP122" s="1">
        <f t="shared" si="152"/>
        <v>6034.945648142145</v>
      </c>
      <c r="CQ122" s="1">
        <f t="shared" si="153"/>
        <v>3195.0789308276826</v>
      </c>
      <c r="CR122" s="1">
        <f t="shared" si="154"/>
        <v>8341.994045186775</v>
      </c>
      <c r="CS122" s="1">
        <f t="shared" si="155"/>
        <v>1114.2867348210414</v>
      </c>
      <c r="CT122" s="1">
        <f t="shared" si="156"/>
        <v>135.82773062716</v>
      </c>
      <c r="CU122" s="1">
        <f t="shared" si="157"/>
        <v>2184.4985147356997</v>
      </c>
    </row>
    <row r="123" spans="1:99" ht="12.75">
      <c r="A123" t="s">
        <v>125</v>
      </c>
      <c r="B123" s="1">
        <v>70891</v>
      </c>
      <c r="C123" s="11" t="s">
        <v>124</v>
      </c>
      <c r="D123" s="122">
        <v>13</v>
      </c>
      <c r="E123" s="122">
        <v>10</v>
      </c>
      <c r="F123" s="122">
        <v>51</v>
      </c>
      <c r="G123" s="122">
        <v>42</v>
      </c>
      <c r="H123" s="107">
        <v>9.7</v>
      </c>
      <c r="I123" s="1">
        <f t="shared" si="158"/>
        <v>9215.83</v>
      </c>
      <c r="J123" s="1">
        <f t="shared" si="159"/>
        <v>7089.1</v>
      </c>
      <c r="K123" s="1">
        <f t="shared" si="160"/>
        <v>36154.41</v>
      </c>
      <c r="L123" s="1">
        <f t="shared" si="161"/>
        <v>29774.22</v>
      </c>
      <c r="M123" s="1">
        <f t="shared" si="162"/>
        <v>6876.427</v>
      </c>
      <c r="N123" s="12">
        <f t="shared" si="138"/>
        <v>-0.07112</v>
      </c>
      <c r="O123" s="12">
        <f t="shared" si="139"/>
        <v>0.004760000000000004</v>
      </c>
      <c r="P123" s="12">
        <f t="shared" si="140"/>
        <v>-0.004709999999999981</v>
      </c>
      <c r="Q123" s="12">
        <f t="shared" si="141"/>
        <v>-0.08144000000000005</v>
      </c>
      <c r="R123" s="12">
        <f t="shared" si="142"/>
        <v>-0.028512000000000006</v>
      </c>
      <c r="S123" s="1">
        <f t="shared" si="100"/>
        <v>12772.79726756</v>
      </c>
      <c r="T123" s="2">
        <f t="shared" si="163"/>
        <v>0.18017516</v>
      </c>
      <c r="U123" s="1">
        <f t="shared" si="102"/>
        <v>1468.8716857694</v>
      </c>
      <c r="V123" s="1">
        <f t="shared" si="103"/>
        <v>894.0958087292</v>
      </c>
      <c r="W123" s="1">
        <f t="shared" si="104"/>
        <v>447.0479043646</v>
      </c>
      <c r="X123" s="1">
        <f t="shared" si="105"/>
        <v>2072.6766475086</v>
      </c>
      <c r="Y123" s="1">
        <f t="shared" si="106"/>
        <v>510.9118907024</v>
      </c>
      <c r="Z123" s="1">
        <f t="shared" si="107"/>
        <v>255.4559453512</v>
      </c>
      <c r="AA123" s="1">
        <f t="shared" si="108"/>
        <v>1184.3866557192</v>
      </c>
      <c r="AB123" s="1">
        <f t="shared" si="109"/>
        <v>3683.6747319643036</v>
      </c>
      <c r="AC123" s="1">
        <f t="shared" si="110"/>
        <v>1841.8373659821518</v>
      </c>
      <c r="AD123" s="1">
        <f t="shared" si="111"/>
        <v>8539.42778773543</v>
      </c>
      <c r="AE123" s="1">
        <f t="shared" si="112"/>
        <v>2180.3164935724917</v>
      </c>
      <c r="AF123" s="1">
        <f t="shared" si="113"/>
        <v>1090.1582467862459</v>
      </c>
      <c r="AG123" s="1">
        <f t="shared" si="114"/>
        <v>5054.370053281686</v>
      </c>
      <c r="AH123"/>
      <c r="AI123"/>
      <c r="AJ123"/>
      <c r="AK123"/>
      <c r="AL123"/>
      <c r="AM123"/>
      <c r="AN123"/>
      <c r="AP123" t="s">
        <v>125</v>
      </c>
      <c r="AQ123" s="11" t="s">
        <v>228</v>
      </c>
      <c r="AR123" s="1">
        <v>70891</v>
      </c>
      <c r="AS123" s="1">
        <v>12772.79726756</v>
      </c>
      <c r="AT123" s="1">
        <v>6386.39863378</v>
      </c>
      <c r="AU123" s="1">
        <v>29609.666392979998</v>
      </c>
      <c r="AV123" s="1">
        <v>1468.8716857694</v>
      </c>
      <c r="AW123" s="1">
        <v>1021.8237814048</v>
      </c>
      <c r="AX123" s="1">
        <v>4215.0230982948</v>
      </c>
      <c r="AY123" s="1">
        <f t="shared" si="115"/>
        <v>268.80351849580023</v>
      </c>
      <c r="AZ123" s="1">
        <f t="shared" si="116"/>
        <v>157.131784771905</v>
      </c>
      <c r="BA123" s="1">
        <f t="shared" si="117"/>
        <v>371.05637693160264</v>
      </c>
      <c r="BB123" s="1">
        <f t="shared" si="118"/>
        <v>85.19455777462521</v>
      </c>
      <c r="BC123" s="1">
        <f t="shared" si="119"/>
        <v>0</v>
      </c>
      <c r="BD123" s="1">
        <f t="shared" si="120"/>
        <v>204.04948532600483</v>
      </c>
      <c r="BE123" s="1">
        <f t="shared" si="164"/>
        <v>323.15177086926803</v>
      </c>
      <c r="BF123" s="1">
        <f t="shared" si="165"/>
        <v>145.41829689117063</v>
      </c>
      <c r="BG123" s="1">
        <f t="shared" si="166"/>
        <v>685.4049060137176</v>
      </c>
      <c r="BH123" s="1">
        <f t="shared" si="167"/>
        <v>73.44358428847</v>
      </c>
      <c r="BI123" s="1">
        <f t="shared" si="168"/>
        <v>21.00486510650242</v>
      </c>
      <c r="BJ123" s="1">
        <f t="shared" si="169"/>
        <v>293.77433715388</v>
      </c>
      <c r="BL123" s="2">
        <v>0</v>
      </c>
      <c r="BM123" s="2">
        <v>0</v>
      </c>
      <c r="BO123" s="1">
        <f t="shared" si="121"/>
        <v>268.80351849580023</v>
      </c>
      <c r="BP123" s="1">
        <f t="shared" si="122"/>
        <v>157.131784771905</v>
      </c>
      <c r="BQ123" s="1">
        <f t="shared" si="123"/>
        <v>371.05637693160264</v>
      </c>
      <c r="BR123" s="1">
        <f t="shared" si="124"/>
        <v>85.19455777462521</v>
      </c>
      <c r="BS123" s="1">
        <f t="shared" si="125"/>
        <v>0</v>
      </c>
      <c r="BT123" s="1">
        <f t="shared" si="126"/>
        <v>204.04948532600483</v>
      </c>
      <c r="BU123" s="1">
        <f t="shared" si="127"/>
        <v>323.15177086926803</v>
      </c>
      <c r="BV123" s="1">
        <f t="shared" si="128"/>
        <v>145.41829689117063</v>
      </c>
      <c r="BW123" s="1">
        <f t="shared" si="129"/>
        <v>685.4049060137176</v>
      </c>
      <c r="BX123" s="1">
        <f t="shared" si="130"/>
        <v>73.44358428847</v>
      </c>
      <c r="BY123" s="1">
        <f t="shared" si="131"/>
        <v>21.00486510650242</v>
      </c>
      <c r="BZ123" s="1">
        <f t="shared" si="132"/>
        <v>293.77433715388</v>
      </c>
      <c r="CA123" s="1">
        <f t="shared" si="133"/>
        <v>1468.8716857694</v>
      </c>
      <c r="CB123" s="1">
        <f t="shared" si="134"/>
        <v>1021.8237814048</v>
      </c>
      <c r="CC123" s="1">
        <f t="shared" si="135"/>
        <v>4215.0230982948</v>
      </c>
      <c r="CD123" s="1">
        <f t="shared" si="149"/>
        <v>12772.79726756</v>
      </c>
      <c r="CE123" s="1">
        <f t="shared" si="150"/>
        <v>6386.39863378</v>
      </c>
      <c r="CF123" s="1">
        <f t="shared" si="151"/>
        <v>29609.666392979998</v>
      </c>
      <c r="CG123" t="s">
        <v>125</v>
      </c>
      <c r="CH123" s="11" t="s">
        <v>228</v>
      </c>
      <c r="CI123" s="1">
        <v>70891</v>
      </c>
      <c r="CJ123" s="102">
        <v>41.44475</v>
      </c>
      <c r="CK123" s="1">
        <v>119.9875</v>
      </c>
      <c r="CL123" s="1">
        <f t="shared" si="136"/>
        <v>161.43225</v>
      </c>
      <c r="CM123" s="1">
        <v>40.132515171504</v>
      </c>
      <c r="CN123" s="1">
        <v>111.383215952987</v>
      </c>
      <c r="CO123" s="1">
        <f t="shared" si="137"/>
        <v>151.515731124491</v>
      </c>
      <c r="CP123" s="1">
        <f t="shared" si="152"/>
        <v>49.93958497863223</v>
      </c>
      <c r="CQ123" s="1">
        <f t="shared" si="153"/>
        <v>26.439495081223676</v>
      </c>
      <c r="CR123" s="1">
        <f t="shared" si="154"/>
        <v>69.0305671003181</v>
      </c>
      <c r="CS123" s="1">
        <f t="shared" si="155"/>
        <v>32.212244437066786</v>
      </c>
      <c r="CT123" s="1">
        <f t="shared" si="156"/>
        <v>4.575775079959628</v>
      </c>
      <c r="CU123" s="1">
        <f t="shared" si="157"/>
        <v>54.66687578971635</v>
      </c>
    </row>
    <row r="124" spans="1:99" ht="12.75">
      <c r="A124" t="s">
        <v>126</v>
      </c>
      <c r="B124" s="1">
        <v>1704446</v>
      </c>
      <c r="C124" s="11" t="s">
        <v>124</v>
      </c>
      <c r="D124" s="122">
        <v>19</v>
      </c>
      <c r="E124" s="122">
        <v>6</v>
      </c>
      <c r="F124" s="122">
        <v>35</v>
      </c>
      <c r="G124" s="107">
        <v>72.8</v>
      </c>
      <c r="H124" s="107">
        <v>9.7</v>
      </c>
      <c r="I124" s="1">
        <f t="shared" si="158"/>
        <v>323844.74</v>
      </c>
      <c r="J124" s="1">
        <f t="shared" si="159"/>
        <v>102266.76</v>
      </c>
      <c r="K124" s="1">
        <f t="shared" si="160"/>
        <v>596556.1</v>
      </c>
      <c r="L124" s="1">
        <f t="shared" si="161"/>
        <v>1240836.688</v>
      </c>
      <c r="M124" s="1">
        <f t="shared" si="162"/>
        <v>165331.262</v>
      </c>
      <c r="N124" s="12">
        <f t="shared" si="138"/>
        <v>-0.02312000000000001</v>
      </c>
      <c r="O124" s="12">
        <f t="shared" si="139"/>
        <v>-0.01124</v>
      </c>
      <c r="P124" s="12">
        <f t="shared" si="140"/>
        <v>-0.052709999999999986</v>
      </c>
      <c r="Q124" s="12">
        <f t="shared" si="141"/>
        <v>0.16495999999999997</v>
      </c>
      <c r="R124" s="12">
        <f t="shared" si="142"/>
        <v>-0.028512000000000006</v>
      </c>
      <c r="S124" s="1">
        <f t="shared" si="100"/>
        <v>393493.78960935987</v>
      </c>
      <c r="T124" s="2">
        <f t="shared" si="163"/>
        <v>0.23086315999999993</v>
      </c>
      <c r="U124" s="1">
        <f t="shared" si="102"/>
        <v>45251.78580507639</v>
      </c>
      <c r="V124" s="1">
        <f t="shared" si="103"/>
        <v>27544.565272655193</v>
      </c>
      <c r="W124" s="1">
        <f t="shared" si="104"/>
        <v>13772.282636327596</v>
      </c>
      <c r="X124" s="1">
        <f t="shared" si="105"/>
        <v>63853.31040479159</v>
      </c>
      <c r="Y124" s="1">
        <f t="shared" si="106"/>
        <v>15739.751584374395</v>
      </c>
      <c r="Z124" s="1">
        <f t="shared" si="107"/>
        <v>7869.8757921871975</v>
      </c>
      <c r="AA124" s="1">
        <f t="shared" si="108"/>
        <v>36487.60594559519</v>
      </c>
      <c r="AB124" s="1">
        <f t="shared" si="109"/>
        <v>113483.60892333939</v>
      </c>
      <c r="AC124" s="1">
        <f t="shared" si="110"/>
        <v>56741.80446166969</v>
      </c>
      <c r="AD124" s="1">
        <f t="shared" si="111"/>
        <v>263075.63886774133</v>
      </c>
      <c r="AE124" s="1">
        <f t="shared" si="112"/>
        <v>67169.38988631773</v>
      </c>
      <c r="AF124" s="1">
        <f t="shared" si="113"/>
        <v>33584.694943158865</v>
      </c>
      <c r="AG124" s="1">
        <f t="shared" si="114"/>
        <v>155710.85837282747</v>
      </c>
      <c r="AH124"/>
      <c r="AI124"/>
      <c r="AJ124"/>
      <c r="AK124"/>
      <c r="AL124"/>
      <c r="AM124"/>
      <c r="AN124"/>
      <c r="AP124" t="s">
        <v>232</v>
      </c>
      <c r="AQ124" s="11" t="s">
        <v>228</v>
      </c>
      <c r="AR124" s="1">
        <v>1704446</v>
      </c>
      <c r="AS124" s="1">
        <v>393493.78960935987</v>
      </c>
      <c r="AT124" s="1">
        <v>196746.89480467993</v>
      </c>
      <c r="AU124" s="1">
        <v>912190.1486398798</v>
      </c>
      <c r="AV124" s="1">
        <v>45251.78580507639</v>
      </c>
      <c r="AW124" s="1">
        <v>31479.50316874879</v>
      </c>
      <c r="AX124" s="1">
        <v>129852.95057108876</v>
      </c>
      <c r="AY124" s="1">
        <f t="shared" si="115"/>
        <v>8281.076802328978</v>
      </c>
      <c r="AZ124" s="1">
        <f t="shared" si="116"/>
        <v>4840.786255569427</v>
      </c>
      <c r="BA124" s="1">
        <f t="shared" si="117"/>
        <v>11431.198417934922</v>
      </c>
      <c r="BB124" s="1">
        <f t="shared" si="118"/>
        <v>2624.6035766944306</v>
      </c>
      <c r="BC124" s="1">
        <f t="shared" si="119"/>
        <v>0</v>
      </c>
      <c r="BD124" s="1">
        <f t="shared" si="120"/>
        <v>6286.18802654083</v>
      </c>
      <c r="BE124" s="1">
        <f t="shared" si="164"/>
        <v>9955.392877116807</v>
      </c>
      <c r="BF124" s="1">
        <f t="shared" si="165"/>
        <v>4479.926794702563</v>
      </c>
      <c r="BG124" s="1">
        <f t="shared" si="166"/>
        <v>21115.388292364747</v>
      </c>
      <c r="BH124" s="1">
        <f t="shared" si="167"/>
        <v>2262.5892902538194</v>
      </c>
      <c r="BI124" s="1">
        <f t="shared" si="168"/>
        <v>647.1005370125923</v>
      </c>
      <c r="BJ124" s="1">
        <f t="shared" si="169"/>
        <v>9050.357161015278</v>
      </c>
      <c r="BL124" s="2">
        <v>0</v>
      </c>
      <c r="BM124" s="2">
        <v>0</v>
      </c>
      <c r="BO124" s="1">
        <f t="shared" si="121"/>
        <v>8281.076802328978</v>
      </c>
      <c r="BP124" s="1">
        <f t="shared" si="122"/>
        <v>4840.786255569427</v>
      </c>
      <c r="BQ124" s="1">
        <f t="shared" si="123"/>
        <v>11431.198417934922</v>
      </c>
      <c r="BR124" s="1">
        <f t="shared" si="124"/>
        <v>2624.6035766944306</v>
      </c>
      <c r="BS124" s="1">
        <f t="shared" si="125"/>
        <v>0</v>
      </c>
      <c r="BT124" s="1">
        <f t="shared" si="126"/>
        <v>6286.18802654083</v>
      </c>
      <c r="BU124" s="1">
        <f t="shared" si="127"/>
        <v>9955.392877116807</v>
      </c>
      <c r="BV124" s="1">
        <f t="shared" si="128"/>
        <v>4479.926794702563</v>
      </c>
      <c r="BW124" s="1">
        <f t="shared" si="129"/>
        <v>21115.388292364747</v>
      </c>
      <c r="BX124" s="1">
        <f t="shared" si="130"/>
        <v>2262.5892902538194</v>
      </c>
      <c r="BY124" s="1">
        <f t="shared" si="131"/>
        <v>647.1005370125923</v>
      </c>
      <c r="BZ124" s="1">
        <f t="shared" si="132"/>
        <v>9050.357161015278</v>
      </c>
      <c r="CA124" s="1">
        <f t="shared" si="133"/>
        <v>45251.78580507639</v>
      </c>
      <c r="CB124" s="1">
        <f t="shared" si="134"/>
        <v>31479.50316874879</v>
      </c>
      <c r="CC124" s="1">
        <f t="shared" si="135"/>
        <v>129852.95057108876</v>
      </c>
      <c r="CD124" s="1">
        <f t="shared" si="149"/>
        <v>393493.78960935987</v>
      </c>
      <c r="CE124" s="1">
        <f t="shared" si="150"/>
        <v>196746.89480467993</v>
      </c>
      <c r="CF124" s="1">
        <f t="shared" si="151"/>
        <v>912190.1486398798</v>
      </c>
      <c r="CG124" t="s">
        <v>232</v>
      </c>
      <c r="CH124" s="11" t="s">
        <v>228</v>
      </c>
      <c r="CI124" s="1">
        <v>1704446</v>
      </c>
      <c r="CJ124" s="102">
        <v>243.8118</v>
      </c>
      <c r="CK124" s="1">
        <v>1489.807</v>
      </c>
      <c r="CL124" s="1">
        <f t="shared" si="136"/>
        <v>1733.6188</v>
      </c>
      <c r="CM124" s="1">
        <v>242.733869985263</v>
      </c>
      <c r="CN124" s="1">
        <v>1500.92789626988</v>
      </c>
      <c r="CO124" s="1">
        <f t="shared" si="137"/>
        <v>1743.661766255143</v>
      </c>
      <c r="CP124" s="1">
        <f t="shared" si="152"/>
        <v>574.7109181576951</v>
      </c>
      <c r="CQ124" s="1">
        <f t="shared" si="153"/>
        <v>304.26897821152244</v>
      </c>
      <c r="CR124" s="1">
        <f t="shared" si="154"/>
        <v>794.4123007058431</v>
      </c>
      <c r="CS124" s="1">
        <f t="shared" si="155"/>
        <v>370.7024915058434</v>
      </c>
      <c r="CT124" s="1">
        <f t="shared" si="156"/>
        <v>52.65858534090532</v>
      </c>
      <c r="CU124" s="1">
        <f t="shared" si="157"/>
        <v>629.1131652648556</v>
      </c>
    </row>
    <row r="125" spans="1:99" ht="12.75">
      <c r="A125" t="s">
        <v>127</v>
      </c>
      <c r="B125" s="1">
        <v>127960004</v>
      </c>
      <c r="C125" s="11" t="s">
        <v>124</v>
      </c>
      <c r="D125" s="122">
        <v>42.1</v>
      </c>
      <c r="E125" s="29">
        <v>8.1</v>
      </c>
      <c r="F125" s="29">
        <v>41.7</v>
      </c>
      <c r="G125" s="124">
        <v>70</v>
      </c>
      <c r="H125" s="124">
        <v>11.3</v>
      </c>
      <c r="I125" s="1">
        <f t="shared" si="158"/>
        <v>53871161.68400001</v>
      </c>
      <c r="J125" s="1">
        <f t="shared" si="159"/>
        <v>10364760.324</v>
      </c>
      <c r="K125" s="1">
        <f t="shared" si="160"/>
        <v>53359321.668000005</v>
      </c>
      <c r="L125" s="1">
        <f t="shared" si="161"/>
        <v>89572002.8</v>
      </c>
      <c r="M125" s="1">
        <f t="shared" si="162"/>
        <v>14459480.452</v>
      </c>
      <c r="N125" s="12">
        <f t="shared" si="138"/>
        <v>0.16168000000000005</v>
      </c>
      <c r="O125" s="12">
        <f t="shared" si="139"/>
        <v>-0.0028399999999999983</v>
      </c>
      <c r="P125" s="12">
        <f t="shared" si="140"/>
        <v>-0.03260999999999997</v>
      </c>
      <c r="Q125" s="12">
        <f t="shared" si="141"/>
        <v>0.14255999999999994</v>
      </c>
      <c r="R125" s="12">
        <f t="shared" si="142"/>
        <v>-0.012671999999999992</v>
      </c>
      <c r="S125" s="1">
        <f t="shared" si="100"/>
        <v>35361230.14698384</v>
      </c>
      <c r="T125" s="2">
        <f t="shared" si="163"/>
        <v>0.27634596</v>
      </c>
      <c r="U125" s="1">
        <f t="shared" si="102"/>
        <v>4066541.4669031417</v>
      </c>
      <c r="V125" s="1">
        <f t="shared" si="103"/>
        <v>2475286.110288869</v>
      </c>
      <c r="W125" s="1">
        <f t="shared" si="104"/>
        <v>1237643.0551444346</v>
      </c>
      <c r="X125" s="1">
        <f t="shared" si="105"/>
        <v>5738163.255669652</v>
      </c>
      <c r="Y125" s="1">
        <f t="shared" si="106"/>
        <v>1414449.2058793537</v>
      </c>
      <c r="Z125" s="1">
        <f t="shared" si="107"/>
        <v>707224.6029396768</v>
      </c>
      <c r="AA125" s="1">
        <f t="shared" si="108"/>
        <v>3278950.431811229</v>
      </c>
      <c r="AB125" s="1">
        <f t="shared" si="109"/>
        <v>10198178.774390139</v>
      </c>
      <c r="AC125" s="1">
        <f t="shared" si="110"/>
        <v>5099089.387195069</v>
      </c>
      <c r="AD125" s="1">
        <f t="shared" si="111"/>
        <v>23641232.61335896</v>
      </c>
      <c r="AE125" s="1">
        <f t="shared" si="112"/>
        <v>6036161.986090141</v>
      </c>
      <c r="AF125" s="1">
        <f t="shared" si="113"/>
        <v>3018080.9930450707</v>
      </c>
      <c r="AG125" s="1">
        <f t="shared" si="114"/>
        <v>13992920.967754418</v>
      </c>
      <c r="AH125"/>
      <c r="AI125"/>
      <c r="AJ125"/>
      <c r="AK125"/>
      <c r="AL125"/>
      <c r="AM125"/>
      <c r="AN125"/>
      <c r="AP125" t="s">
        <v>127</v>
      </c>
      <c r="AQ125" s="11" t="s">
        <v>228</v>
      </c>
      <c r="AR125" s="1">
        <v>127960004</v>
      </c>
      <c r="AS125" s="1">
        <v>35361230.14698384</v>
      </c>
      <c r="AT125" s="1">
        <v>17680615.07349192</v>
      </c>
      <c r="AU125" s="1">
        <v>81973760.79528072</v>
      </c>
      <c r="AV125" s="1">
        <v>4066541.4669031417</v>
      </c>
      <c r="AW125" s="1">
        <v>2828898.4117587074</v>
      </c>
      <c r="AX125" s="1">
        <v>11669205.948504668</v>
      </c>
      <c r="AY125" s="1">
        <f t="shared" si="115"/>
        <v>744177.088443275</v>
      </c>
      <c r="AZ125" s="1">
        <f t="shared" si="116"/>
        <v>435016.1588204008</v>
      </c>
      <c r="BA125" s="1">
        <f t="shared" si="117"/>
        <v>1027262.0528870968</v>
      </c>
      <c r="BB125" s="1">
        <f t="shared" si="118"/>
        <v>235859.40508038222</v>
      </c>
      <c r="BC125" s="1">
        <f t="shared" si="119"/>
        <v>0</v>
      </c>
      <c r="BD125" s="1">
        <f t="shared" si="120"/>
        <v>564906.8611080234</v>
      </c>
      <c r="BE125" s="1">
        <f t="shared" si="164"/>
        <v>894639.1227186911</v>
      </c>
      <c r="BF125" s="1">
        <f t="shared" si="165"/>
        <v>402587.605223411</v>
      </c>
      <c r="BG125" s="1">
        <f t="shared" si="166"/>
        <v>1897529.579286344</v>
      </c>
      <c r="BH125" s="1">
        <f t="shared" si="167"/>
        <v>203327.07334515708</v>
      </c>
      <c r="BI125" s="1">
        <f t="shared" si="168"/>
        <v>58151.54297671492</v>
      </c>
      <c r="BJ125" s="1">
        <f t="shared" si="169"/>
        <v>813308.2933806283</v>
      </c>
      <c r="BL125" s="2">
        <v>0</v>
      </c>
      <c r="BM125" s="2">
        <v>0</v>
      </c>
      <c r="BO125" s="1">
        <f t="shared" si="121"/>
        <v>744177.088443275</v>
      </c>
      <c r="BP125" s="1">
        <f t="shared" si="122"/>
        <v>435016.1588204008</v>
      </c>
      <c r="BQ125" s="1">
        <f t="shared" si="123"/>
        <v>1027262.0528870968</v>
      </c>
      <c r="BR125" s="1">
        <f t="shared" si="124"/>
        <v>235859.40508038222</v>
      </c>
      <c r="BS125" s="1">
        <f t="shared" si="125"/>
        <v>0</v>
      </c>
      <c r="BT125" s="1">
        <f t="shared" si="126"/>
        <v>564906.8611080234</v>
      </c>
      <c r="BU125" s="1">
        <f t="shared" si="127"/>
        <v>894639.1227186911</v>
      </c>
      <c r="BV125" s="1">
        <f t="shared" si="128"/>
        <v>402587.605223411</v>
      </c>
      <c r="BW125" s="1">
        <f t="shared" si="129"/>
        <v>1897529.579286344</v>
      </c>
      <c r="BX125" s="1">
        <f t="shared" si="130"/>
        <v>203327.07334515708</v>
      </c>
      <c r="BY125" s="1">
        <f t="shared" si="131"/>
        <v>58151.54297671492</v>
      </c>
      <c r="BZ125" s="1">
        <f t="shared" si="132"/>
        <v>813308.2933806283</v>
      </c>
      <c r="CA125" s="1">
        <f t="shared" si="133"/>
        <v>4066541.4669031417</v>
      </c>
      <c r="CB125" s="1">
        <f t="shared" si="134"/>
        <v>2828898.4117587074</v>
      </c>
      <c r="CC125" s="1">
        <f t="shared" si="135"/>
        <v>11669205.948504668</v>
      </c>
      <c r="CD125" s="1">
        <f t="shared" si="149"/>
        <v>35361230.14698384</v>
      </c>
      <c r="CE125" s="1">
        <f t="shared" si="150"/>
        <v>17680615.07349192</v>
      </c>
      <c r="CF125" s="1">
        <f t="shared" si="151"/>
        <v>81973760.79528072</v>
      </c>
      <c r="CG125" t="s">
        <v>127</v>
      </c>
      <c r="CH125" s="11" t="s">
        <v>228</v>
      </c>
      <c r="CI125" s="1">
        <v>127960004</v>
      </c>
      <c r="CJ125" s="102">
        <v>142845.5</v>
      </c>
      <c r="CK125" s="1">
        <v>253876.9</v>
      </c>
      <c r="CL125" s="1">
        <f t="shared" si="136"/>
        <v>396722.4</v>
      </c>
      <c r="CM125" s="1">
        <v>143016.227251433</v>
      </c>
      <c r="CN125" s="1">
        <v>245128.059062147</v>
      </c>
      <c r="CO125" s="1">
        <f t="shared" si="137"/>
        <v>388144.28631358</v>
      </c>
      <c r="CP125" s="1">
        <f t="shared" si="152"/>
        <v>127932.35676895597</v>
      </c>
      <c r="CQ125" s="1">
        <f t="shared" si="153"/>
        <v>67731.1779617197</v>
      </c>
      <c r="CR125" s="1">
        <f t="shared" si="154"/>
        <v>176838.53684446705</v>
      </c>
      <c r="CS125" s="1">
        <f t="shared" si="155"/>
        <v>82519.47527026711</v>
      </c>
      <c r="CT125" s="1">
        <f t="shared" si="156"/>
        <v>11721.957446670116</v>
      </c>
      <c r="CU125" s="1">
        <f t="shared" si="157"/>
        <v>140042.45850193966</v>
      </c>
    </row>
    <row r="126" spans="1:99" ht="12.75">
      <c r="A126" t="s">
        <v>128</v>
      </c>
      <c r="B126" s="1">
        <v>25984</v>
      </c>
      <c r="C126" s="11" t="s">
        <v>124</v>
      </c>
      <c r="D126" s="122">
        <v>16.6</v>
      </c>
      <c r="E126" s="30">
        <v>11</v>
      </c>
      <c r="F126" s="29">
        <v>37.3</v>
      </c>
      <c r="G126" s="112">
        <v>6.2</v>
      </c>
      <c r="H126" s="124">
        <v>28.5</v>
      </c>
      <c r="I126" s="1">
        <f t="shared" si="158"/>
        <v>4313.344</v>
      </c>
      <c r="J126" s="1">
        <f t="shared" si="159"/>
        <v>2858.24</v>
      </c>
      <c r="K126" s="1">
        <f t="shared" si="160"/>
        <v>9692.032</v>
      </c>
      <c r="L126" s="1">
        <f t="shared" si="161"/>
        <v>1611.0080000000003</v>
      </c>
      <c r="M126" s="1">
        <f t="shared" si="162"/>
        <v>7405.44</v>
      </c>
      <c r="N126" s="12">
        <f t="shared" si="138"/>
        <v>-0.04232</v>
      </c>
      <c r="O126" s="12">
        <f t="shared" si="139"/>
        <v>0.008760000000000002</v>
      </c>
      <c r="P126" s="12">
        <f t="shared" si="140"/>
        <v>-0.04580999999999998</v>
      </c>
      <c r="Q126" s="12">
        <f t="shared" si="141"/>
        <v>-0.36784000000000006</v>
      </c>
      <c r="R126" s="12">
        <f t="shared" si="142"/>
        <v>0.15760799999999997</v>
      </c>
      <c r="S126" s="1">
        <f t="shared" si="100"/>
        <v>4060.975959039999</v>
      </c>
      <c r="T126" s="2">
        <f t="shared" si="163"/>
        <v>0.15628755999999996</v>
      </c>
      <c r="U126" s="1">
        <f t="shared" si="102"/>
        <v>467.0122352895999</v>
      </c>
      <c r="V126" s="1">
        <f t="shared" si="103"/>
        <v>284.26831713279995</v>
      </c>
      <c r="W126" s="1">
        <f t="shared" si="104"/>
        <v>142.13415856639998</v>
      </c>
      <c r="X126" s="1">
        <f t="shared" si="105"/>
        <v>658.9856442623999</v>
      </c>
      <c r="Y126" s="1">
        <f t="shared" si="106"/>
        <v>162.43903836159996</v>
      </c>
      <c r="Z126" s="1">
        <f t="shared" si="107"/>
        <v>81.21951918079998</v>
      </c>
      <c r="AA126" s="1">
        <f t="shared" si="108"/>
        <v>376.5632252927999</v>
      </c>
      <c r="AB126" s="1">
        <f t="shared" si="109"/>
        <v>1171.1854665871356</v>
      </c>
      <c r="AC126" s="1">
        <f t="shared" si="110"/>
        <v>585.5927332935678</v>
      </c>
      <c r="AD126" s="1">
        <f t="shared" si="111"/>
        <v>2715.0208543610875</v>
      </c>
      <c r="AE126" s="1">
        <f t="shared" si="112"/>
        <v>693.2085962081278</v>
      </c>
      <c r="AF126" s="1">
        <f t="shared" si="113"/>
        <v>346.6042981040639</v>
      </c>
      <c r="AG126" s="1">
        <f t="shared" si="114"/>
        <v>1606.9835639370235</v>
      </c>
      <c r="AH126"/>
      <c r="AI126"/>
      <c r="AJ126"/>
      <c r="AK126"/>
      <c r="AL126"/>
      <c r="AM126"/>
      <c r="AN126"/>
      <c r="AP126" t="s">
        <v>128</v>
      </c>
      <c r="AQ126" s="11" t="s">
        <v>228</v>
      </c>
      <c r="AR126" s="1">
        <v>25984</v>
      </c>
      <c r="AS126" s="1">
        <v>4060.975959039999</v>
      </c>
      <c r="AT126" s="1">
        <v>2030.4879795199995</v>
      </c>
      <c r="AU126" s="1">
        <v>9414.080632319998</v>
      </c>
      <c r="AV126" s="1">
        <v>467.0122352895999</v>
      </c>
      <c r="AW126" s="1">
        <v>324.8780767231999</v>
      </c>
      <c r="AX126" s="1">
        <v>1340.1220664831997</v>
      </c>
      <c r="AY126" s="1">
        <f t="shared" si="115"/>
        <v>85.46323905799679</v>
      </c>
      <c r="AZ126" s="1">
        <f t="shared" si="116"/>
        <v>49.9583910237426</v>
      </c>
      <c r="BA126" s="1">
        <f t="shared" si="117"/>
        <v>117.97345519565877</v>
      </c>
      <c r="BB126" s="1">
        <f t="shared" si="118"/>
        <v>27.086709646796795</v>
      </c>
      <c r="BC126" s="1">
        <f t="shared" si="119"/>
        <v>0</v>
      </c>
      <c r="BD126" s="1">
        <f t="shared" si="120"/>
        <v>64.87537827504299</v>
      </c>
      <c r="BE126" s="1">
        <f t="shared" si="164"/>
        <v>102.74269176371199</v>
      </c>
      <c r="BF126" s="1">
        <f t="shared" si="165"/>
        <v>46.2342112936704</v>
      </c>
      <c r="BG126" s="1">
        <f t="shared" si="166"/>
        <v>217.91724923083314</v>
      </c>
      <c r="BH126" s="1">
        <f t="shared" si="167"/>
        <v>23.350611764479996</v>
      </c>
      <c r="BI126" s="1">
        <f t="shared" si="168"/>
        <v>6.678274964641278</v>
      </c>
      <c r="BJ126" s="1">
        <f t="shared" si="169"/>
        <v>93.40244705791999</v>
      </c>
      <c r="BL126" s="2">
        <v>0</v>
      </c>
      <c r="BM126" s="2">
        <v>0</v>
      </c>
      <c r="BO126" s="1">
        <f t="shared" si="121"/>
        <v>85.46323905799679</v>
      </c>
      <c r="BP126" s="1">
        <f t="shared" si="122"/>
        <v>49.9583910237426</v>
      </c>
      <c r="BQ126" s="1">
        <f t="shared" si="123"/>
        <v>117.97345519565877</v>
      </c>
      <c r="BR126" s="1">
        <f t="shared" si="124"/>
        <v>27.086709646796795</v>
      </c>
      <c r="BS126" s="1">
        <f t="shared" si="125"/>
        <v>0</v>
      </c>
      <c r="BT126" s="1">
        <f t="shared" si="126"/>
        <v>64.87537827504299</v>
      </c>
      <c r="BU126" s="1">
        <f t="shared" si="127"/>
        <v>102.74269176371199</v>
      </c>
      <c r="BV126" s="1">
        <f t="shared" si="128"/>
        <v>46.2342112936704</v>
      </c>
      <c r="BW126" s="1">
        <f t="shared" si="129"/>
        <v>217.91724923083314</v>
      </c>
      <c r="BX126" s="1">
        <f t="shared" si="130"/>
        <v>23.350611764479996</v>
      </c>
      <c r="BY126" s="1">
        <f t="shared" si="131"/>
        <v>6.678274964641278</v>
      </c>
      <c r="BZ126" s="1">
        <f t="shared" si="132"/>
        <v>93.40244705791999</v>
      </c>
      <c r="CA126" s="1">
        <f t="shared" si="133"/>
        <v>467.0122352895999</v>
      </c>
      <c r="CB126" s="1">
        <f t="shared" si="134"/>
        <v>324.8780767231999</v>
      </c>
      <c r="CC126" s="1">
        <f t="shared" si="135"/>
        <v>1340.1220664831997</v>
      </c>
      <c r="CD126" s="1">
        <f t="shared" si="149"/>
        <v>4060.975959039999</v>
      </c>
      <c r="CE126" s="1">
        <f t="shared" si="150"/>
        <v>2030.4879795199995</v>
      </c>
      <c r="CF126" s="1">
        <f t="shared" si="151"/>
        <v>9414.080632319998</v>
      </c>
      <c r="CG126" t="s">
        <v>128</v>
      </c>
      <c r="CH126" s="11" t="s">
        <v>228</v>
      </c>
      <c r="CI126" s="1">
        <v>25984</v>
      </c>
      <c r="CJ126" s="102">
        <v>1.699991</v>
      </c>
      <c r="CK126" s="1">
        <v>6.966848</v>
      </c>
      <c r="CL126" s="1">
        <f t="shared" si="136"/>
        <v>8.666839</v>
      </c>
      <c r="CM126" s="1">
        <v>1.22978072340426</v>
      </c>
      <c r="CN126" s="1">
        <v>4.84393905683192</v>
      </c>
      <c r="CO126" s="1">
        <f t="shared" si="137"/>
        <v>6.07371978023618</v>
      </c>
      <c r="CP126" s="1">
        <f t="shared" si="152"/>
        <v>2.001898039565845</v>
      </c>
      <c r="CQ126" s="1">
        <f t="shared" si="153"/>
        <v>1.0598641016512134</v>
      </c>
      <c r="CR126" s="1">
        <f t="shared" si="154"/>
        <v>2.767186731875604</v>
      </c>
      <c r="CS126" s="1">
        <f t="shared" si="155"/>
        <v>1.291272825278212</v>
      </c>
      <c r="CT126" s="1">
        <f t="shared" si="156"/>
        <v>0.18342633736313266</v>
      </c>
      <c r="CU126" s="1">
        <f t="shared" si="157"/>
        <v>2.191398096709214</v>
      </c>
    </row>
    <row r="127" spans="1:99" ht="12.75">
      <c r="A127" t="s">
        <v>129</v>
      </c>
      <c r="B127" s="1">
        <v>3956305</v>
      </c>
      <c r="C127" s="11" t="s">
        <v>124</v>
      </c>
      <c r="D127" s="122">
        <v>23</v>
      </c>
      <c r="E127" s="122">
        <v>9</v>
      </c>
      <c r="F127" s="122">
        <v>76</v>
      </c>
      <c r="G127" s="122">
        <v>95</v>
      </c>
      <c r="H127" s="107">
        <v>9.7</v>
      </c>
      <c r="I127" s="1">
        <f t="shared" si="158"/>
        <v>909950.15</v>
      </c>
      <c r="J127" s="1">
        <f t="shared" si="159"/>
        <v>356067.45</v>
      </c>
      <c r="K127" s="1">
        <f t="shared" si="160"/>
        <v>3006791.8</v>
      </c>
      <c r="L127" s="1">
        <f t="shared" si="161"/>
        <v>3758489.75</v>
      </c>
      <c r="M127" s="1">
        <f t="shared" si="162"/>
        <v>383761.585</v>
      </c>
      <c r="N127" s="12">
        <f t="shared" si="138"/>
        <v>0.008879999999999999</v>
      </c>
      <c r="O127" s="12">
        <f t="shared" si="139"/>
        <v>0.0007599999999999996</v>
      </c>
      <c r="P127" s="12">
        <f t="shared" si="140"/>
        <v>0.07029000000000002</v>
      </c>
      <c r="Q127" s="12">
        <f t="shared" si="141"/>
        <v>0.34256</v>
      </c>
      <c r="R127" s="12">
        <f t="shared" si="142"/>
        <v>-0.028512000000000006</v>
      </c>
      <c r="S127" s="1">
        <f t="shared" si="100"/>
        <v>1213300.4688838</v>
      </c>
      <c r="T127" s="2">
        <f t="shared" si="163"/>
        <v>0.30667516</v>
      </c>
      <c r="U127" s="1">
        <f t="shared" si="102"/>
        <v>139529.553921637</v>
      </c>
      <c r="V127" s="1">
        <f t="shared" si="103"/>
        <v>84931.03282186601</v>
      </c>
      <c r="W127" s="1">
        <f t="shared" si="104"/>
        <v>42465.51641093301</v>
      </c>
      <c r="X127" s="1">
        <f t="shared" si="105"/>
        <v>196885.57608705302</v>
      </c>
      <c r="Y127" s="1">
        <f t="shared" si="106"/>
        <v>48532.018755352</v>
      </c>
      <c r="Z127" s="1">
        <f t="shared" si="107"/>
        <v>24266.009377676</v>
      </c>
      <c r="AA127" s="1">
        <f t="shared" si="108"/>
        <v>112506.043478316</v>
      </c>
      <c r="AB127" s="1">
        <f t="shared" si="109"/>
        <v>349915.8552260879</v>
      </c>
      <c r="AC127" s="1">
        <f t="shared" si="110"/>
        <v>174957.92761304395</v>
      </c>
      <c r="AD127" s="1">
        <f t="shared" si="111"/>
        <v>811168.5734786583</v>
      </c>
      <c r="AE127" s="1">
        <f t="shared" si="112"/>
        <v>207110.39003846465</v>
      </c>
      <c r="AF127" s="1">
        <f t="shared" si="113"/>
        <v>103555.19501923233</v>
      </c>
      <c r="AG127" s="1">
        <f t="shared" si="114"/>
        <v>480119.5405437135</v>
      </c>
      <c r="AH127"/>
      <c r="AI127"/>
      <c r="AJ127"/>
      <c r="AK127"/>
      <c r="AL127"/>
      <c r="AM127"/>
      <c r="AN127"/>
      <c r="AP127" t="s">
        <v>129</v>
      </c>
      <c r="AQ127" s="11" t="s">
        <v>228</v>
      </c>
      <c r="AR127" s="1">
        <v>3956305</v>
      </c>
      <c r="AS127" s="1">
        <v>1213300.4688838</v>
      </c>
      <c r="AT127" s="1">
        <v>606650.2344419</v>
      </c>
      <c r="AU127" s="1">
        <v>2812651.0869579</v>
      </c>
      <c r="AV127" s="1">
        <v>139529.553921637</v>
      </c>
      <c r="AW127" s="1">
        <v>97064.037510704</v>
      </c>
      <c r="AX127" s="1">
        <v>400389.15473165404</v>
      </c>
      <c r="AY127" s="1">
        <f t="shared" si="115"/>
        <v>25533.908367659573</v>
      </c>
      <c r="AZ127" s="1">
        <f t="shared" si="116"/>
        <v>14926.101475399078</v>
      </c>
      <c r="BA127" s="1">
        <f t="shared" si="117"/>
        <v>35247.00711071728</v>
      </c>
      <c r="BB127" s="1">
        <f t="shared" si="118"/>
        <v>8092.714127454947</v>
      </c>
      <c r="BC127" s="1">
        <f t="shared" si="119"/>
        <v>0</v>
      </c>
      <c r="BD127" s="1">
        <f t="shared" si="120"/>
        <v>19382.85960666734</v>
      </c>
      <c r="BE127" s="1">
        <f t="shared" si="164"/>
        <v>30696.501862760142</v>
      </c>
      <c r="BF127" s="1">
        <f t="shared" si="165"/>
        <v>13813.425838242065</v>
      </c>
      <c r="BG127" s="1">
        <f t="shared" si="166"/>
        <v>65107.28045091426</v>
      </c>
      <c r="BH127" s="1">
        <f t="shared" si="167"/>
        <v>6976.477696081851</v>
      </c>
      <c r="BI127" s="1">
        <f t="shared" si="168"/>
        <v>1995.2726210794092</v>
      </c>
      <c r="BJ127" s="1">
        <f t="shared" si="169"/>
        <v>27905.910784327403</v>
      </c>
      <c r="BL127" s="2">
        <v>0</v>
      </c>
      <c r="BM127" s="2">
        <v>0</v>
      </c>
      <c r="BO127" s="1">
        <f t="shared" si="121"/>
        <v>25533.908367659573</v>
      </c>
      <c r="BP127" s="1">
        <f t="shared" si="122"/>
        <v>14926.101475399078</v>
      </c>
      <c r="BQ127" s="1">
        <f t="shared" si="123"/>
        <v>35247.00711071728</v>
      </c>
      <c r="BR127" s="1">
        <f t="shared" si="124"/>
        <v>8092.714127454947</v>
      </c>
      <c r="BS127" s="1">
        <f t="shared" si="125"/>
        <v>0</v>
      </c>
      <c r="BT127" s="1">
        <f t="shared" si="126"/>
        <v>19382.85960666734</v>
      </c>
      <c r="BU127" s="1">
        <f t="shared" si="127"/>
        <v>30696.501862760142</v>
      </c>
      <c r="BV127" s="1">
        <f t="shared" si="128"/>
        <v>13813.425838242065</v>
      </c>
      <c r="BW127" s="1">
        <f t="shared" si="129"/>
        <v>65107.28045091426</v>
      </c>
      <c r="BX127" s="1">
        <f t="shared" si="130"/>
        <v>6976.477696081851</v>
      </c>
      <c r="BY127" s="1">
        <f t="shared" si="131"/>
        <v>1995.2726210794092</v>
      </c>
      <c r="BZ127" s="1">
        <f t="shared" si="132"/>
        <v>27905.910784327403</v>
      </c>
      <c r="CA127" s="1">
        <f t="shared" si="133"/>
        <v>139529.553921637</v>
      </c>
      <c r="CB127" s="1">
        <f t="shared" si="134"/>
        <v>97064.037510704</v>
      </c>
      <c r="CC127" s="1">
        <f t="shared" si="135"/>
        <v>400389.15473165404</v>
      </c>
      <c r="CD127" s="1">
        <f t="shared" si="149"/>
        <v>1213300.4688838</v>
      </c>
      <c r="CE127" s="1">
        <f t="shared" si="150"/>
        <v>606650.2344419</v>
      </c>
      <c r="CF127" s="1">
        <f t="shared" si="151"/>
        <v>2812651.0869579</v>
      </c>
      <c r="CG127" t="s">
        <v>129</v>
      </c>
      <c r="CH127" s="11" t="s">
        <v>228</v>
      </c>
      <c r="CI127" s="1">
        <v>3956305</v>
      </c>
      <c r="CJ127" s="102">
        <v>1033.683</v>
      </c>
      <c r="CK127" s="1">
        <v>8705.232</v>
      </c>
      <c r="CL127" s="1">
        <f t="shared" si="136"/>
        <v>9738.915</v>
      </c>
      <c r="CM127" s="1">
        <v>971.699107752204</v>
      </c>
      <c r="CN127" s="1">
        <v>8157.50199773877</v>
      </c>
      <c r="CO127" s="1">
        <f t="shared" si="137"/>
        <v>9129.201105490974</v>
      </c>
      <c r="CP127" s="1">
        <f t="shared" si="152"/>
        <v>3008.984684369825</v>
      </c>
      <c r="CQ127" s="1">
        <f t="shared" si="153"/>
        <v>1593.045592908175</v>
      </c>
      <c r="CR127" s="1">
        <f t="shared" si="154"/>
        <v>4159.264023661688</v>
      </c>
      <c r="CS127" s="1">
        <f t="shared" si="155"/>
        <v>1940.8681550273814</v>
      </c>
      <c r="CT127" s="1">
        <f t="shared" si="156"/>
        <v>275.7018733858274</v>
      </c>
      <c r="CU127" s="1">
        <f t="shared" si="157"/>
        <v>3293.815758861144</v>
      </c>
    </row>
    <row r="128" spans="1:99" ht="12.75">
      <c r="A128" t="s">
        <v>130</v>
      </c>
      <c r="B128" s="1">
        <v>3506023</v>
      </c>
      <c r="C128" s="11" t="s">
        <v>124</v>
      </c>
      <c r="D128" s="122">
        <v>28.1</v>
      </c>
      <c r="E128" s="123">
        <v>4.9</v>
      </c>
      <c r="F128" s="123">
        <v>20.3</v>
      </c>
      <c r="G128" s="124">
        <v>75.6</v>
      </c>
      <c r="H128" s="124">
        <v>8</v>
      </c>
      <c r="I128" s="1">
        <f t="shared" si="158"/>
        <v>985192.4630000001</v>
      </c>
      <c r="J128" s="1">
        <f t="shared" si="159"/>
        <v>171795.12700000004</v>
      </c>
      <c r="K128" s="1">
        <f t="shared" si="160"/>
        <v>711722.6690000001</v>
      </c>
      <c r="L128" s="1">
        <f t="shared" si="161"/>
        <v>2650553.388</v>
      </c>
      <c r="M128" s="1">
        <f t="shared" si="162"/>
        <v>280481.84</v>
      </c>
      <c r="N128" s="12">
        <f t="shared" si="138"/>
        <v>0.049680000000000016</v>
      </c>
      <c r="O128" s="12">
        <f t="shared" si="139"/>
        <v>-0.015639999999999998</v>
      </c>
      <c r="P128" s="12">
        <f t="shared" si="140"/>
        <v>-0.09680999999999998</v>
      </c>
      <c r="Q128" s="12">
        <f t="shared" si="141"/>
        <v>0.1873599999999999</v>
      </c>
      <c r="R128" s="12">
        <f t="shared" si="142"/>
        <v>-0.04534199999999999</v>
      </c>
      <c r="S128" s="1">
        <f t="shared" si="100"/>
        <v>832451.0283548798</v>
      </c>
      <c r="T128" s="2">
        <f t="shared" si="163"/>
        <v>0.23743455999999996</v>
      </c>
      <c r="U128" s="1">
        <f t="shared" si="102"/>
        <v>95731.86826081118</v>
      </c>
      <c r="V128" s="1">
        <f t="shared" si="103"/>
        <v>58271.57198484159</v>
      </c>
      <c r="W128" s="1">
        <f t="shared" si="104"/>
        <v>29135.785992420795</v>
      </c>
      <c r="X128" s="1">
        <f t="shared" si="105"/>
        <v>135084.09869213277</v>
      </c>
      <c r="Y128" s="1">
        <f t="shared" si="106"/>
        <v>33298.04113419519</v>
      </c>
      <c r="Z128" s="1">
        <f t="shared" si="107"/>
        <v>16649.020567097596</v>
      </c>
      <c r="AA128" s="1">
        <f t="shared" si="108"/>
        <v>77190.91353836158</v>
      </c>
      <c r="AB128" s="1">
        <f t="shared" si="109"/>
        <v>240078.87657754734</v>
      </c>
      <c r="AC128" s="1">
        <f t="shared" si="110"/>
        <v>120039.43828877367</v>
      </c>
      <c r="AD128" s="1">
        <f t="shared" si="111"/>
        <v>556546.486611587</v>
      </c>
      <c r="AE128" s="1">
        <f t="shared" si="112"/>
        <v>142099.39054017796</v>
      </c>
      <c r="AF128" s="1">
        <f t="shared" si="113"/>
        <v>71049.69527008898</v>
      </c>
      <c r="AG128" s="1">
        <f t="shared" si="114"/>
        <v>329412.223524958</v>
      </c>
      <c r="AH128"/>
      <c r="AI128"/>
      <c r="AJ128"/>
      <c r="AK128"/>
      <c r="AL128"/>
      <c r="AM128"/>
      <c r="AN128"/>
      <c r="AP128" t="s">
        <v>130</v>
      </c>
      <c r="AQ128" s="11" t="s">
        <v>228</v>
      </c>
      <c r="AR128" s="1">
        <v>3506023</v>
      </c>
      <c r="AS128" s="1">
        <v>832451.0283548798</v>
      </c>
      <c r="AT128" s="1">
        <v>416225.5141774399</v>
      </c>
      <c r="AU128" s="1">
        <v>1929772.8384590396</v>
      </c>
      <c r="AV128" s="1">
        <v>95731.86826081118</v>
      </c>
      <c r="AW128" s="1">
        <v>66596.08226839038</v>
      </c>
      <c r="AX128" s="1">
        <v>274708.8393571104</v>
      </c>
      <c r="AY128" s="1">
        <f t="shared" si="115"/>
        <v>17518.931891728447</v>
      </c>
      <c r="AZ128" s="1">
        <f t="shared" si="116"/>
        <v>10240.86682662878</v>
      </c>
      <c r="BA128" s="1">
        <f t="shared" si="117"/>
        <v>24183.13358334195</v>
      </c>
      <c r="BB128" s="1">
        <f t="shared" si="118"/>
        <v>5552.448359127049</v>
      </c>
      <c r="BC128" s="1">
        <f t="shared" si="119"/>
        <v>0</v>
      </c>
      <c r="BD128" s="1">
        <f t="shared" si="120"/>
        <v>13298.669064945194</v>
      </c>
      <c r="BE128" s="1">
        <f t="shared" si="164"/>
        <v>21061.01101737846</v>
      </c>
      <c r="BF128" s="1">
        <f t="shared" si="165"/>
        <v>9477.454957820308</v>
      </c>
      <c r="BG128" s="1">
        <f t="shared" si="166"/>
        <v>44670.404367859715</v>
      </c>
      <c r="BH128" s="1">
        <f t="shared" si="167"/>
        <v>4786.593413040559</v>
      </c>
      <c r="BI128" s="1">
        <f t="shared" si="168"/>
        <v>1368.9657161296</v>
      </c>
      <c r="BJ128" s="1">
        <f t="shared" si="169"/>
        <v>19146.373652162238</v>
      </c>
      <c r="BL128" s="2">
        <v>0</v>
      </c>
      <c r="BM128" s="2">
        <v>0</v>
      </c>
      <c r="BO128" s="1">
        <f t="shared" si="121"/>
        <v>17518.931891728447</v>
      </c>
      <c r="BP128" s="1">
        <f t="shared" si="122"/>
        <v>10240.86682662878</v>
      </c>
      <c r="BQ128" s="1">
        <f t="shared" si="123"/>
        <v>24183.13358334195</v>
      </c>
      <c r="BR128" s="1">
        <f t="shared" si="124"/>
        <v>5552.448359127049</v>
      </c>
      <c r="BS128" s="1">
        <f t="shared" si="125"/>
        <v>0</v>
      </c>
      <c r="BT128" s="1">
        <f t="shared" si="126"/>
        <v>13298.669064945194</v>
      </c>
      <c r="BU128" s="1">
        <f t="shared" si="127"/>
        <v>21061.01101737846</v>
      </c>
      <c r="BV128" s="1">
        <f t="shared" si="128"/>
        <v>9477.454957820308</v>
      </c>
      <c r="BW128" s="1">
        <f t="shared" si="129"/>
        <v>44670.404367859715</v>
      </c>
      <c r="BX128" s="1">
        <f t="shared" si="130"/>
        <v>4786.593413040559</v>
      </c>
      <c r="BY128" s="1">
        <f t="shared" si="131"/>
        <v>1368.9657161296</v>
      </c>
      <c r="BZ128" s="1">
        <f t="shared" si="132"/>
        <v>19146.373652162238</v>
      </c>
      <c r="CA128" s="1">
        <f t="shared" si="133"/>
        <v>95731.86826081118</v>
      </c>
      <c r="CB128" s="1">
        <f t="shared" si="134"/>
        <v>66596.08226839038</v>
      </c>
      <c r="CC128" s="1">
        <f t="shared" si="135"/>
        <v>274708.8393571104</v>
      </c>
      <c r="CD128" s="1">
        <f t="shared" si="149"/>
        <v>832451.0283548798</v>
      </c>
      <c r="CE128" s="1">
        <f t="shared" si="150"/>
        <v>416225.5141774399</v>
      </c>
      <c r="CF128" s="1">
        <f t="shared" si="151"/>
        <v>1929772.8384590396</v>
      </c>
      <c r="CG128" t="s">
        <v>130</v>
      </c>
      <c r="CH128" s="11" t="s">
        <v>228</v>
      </c>
      <c r="CI128" s="1">
        <v>3506023</v>
      </c>
      <c r="CJ128" s="102">
        <v>985.7392</v>
      </c>
      <c r="CK128" s="1">
        <v>4684.072</v>
      </c>
      <c r="CL128" s="1">
        <f t="shared" si="136"/>
        <v>5669.8112</v>
      </c>
      <c r="CM128" s="1">
        <v>960.025119417427</v>
      </c>
      <c r="CN128" s="1">
        <v>4541.02878441512</v>
      </c>
      <c r="CO128" s="1">
        <f t="shared" si="137"/>
        <v>5501.053903832547</v>
      </c>
      <c r="CP128" s="1">
        <f t="shared" si="152"/>
        <v>1813.1473667032076</v>
      </c>
      <c r="CQ128" s="1">
        <f t="shared" si="153"/>
        <v>959.9339062187794</v>
      </c>
      <c r="CR128" s="1">
        <f t="shared" si="154"/>
        <v>2506.2801585861084</v>
      </c>
      <c r="CS128" s="1">
        <f t="shared" si="155"/>
        <v>1169.5240599547994</v>
      </c>
      <c r="CT128" s="1">
        <f t="shared" si="156"/>
        <v>166.13182789574293</v>
      </c>
      <c r="CU128" s="1">
        <f t="shared" si="157"/>
        <v>1984.780248502783</v>
      </c>
    </row>
    <row r="129" spans="1:99" ht="12.75">
      <c r="A129" t="s">
        <v>131</v>
      </c>
      <c r="B129" s="1">
        <v>1491690</v>
      </c>
      <c r="C129" s="9" t="s">
        <v>132</v>
      </c>
      <c r="D129" s="122">
        <v>27.7</v>
      </c>
      <c r="E129" s="123">
        <v>6</v>
      </c>
      <c r="F129" s="123">
        <v>18.4</v>
      </c>
      <c r="G129" s="124">
        <v>88</v>
      </c>
      <c r="H129" s="124">
        <v>8.8</v>
      </c>
      <c r="I129" s="1">
        <f t="shared" si="158"/>
        <v>413198.13</v>
      </c>
      <c r="J129" s="1">
        <f t="shared" si="159"/>
        <v>89501.4</v>
      </c>
      <c r="K129" s="1">
        <f t="shared" si="160"/>
        <v>274470.95999999996</v>
      </c>
      <c r="L129" s="1">
        <f t="shared" si="161"/>
        <v>1312687.2</v>
      </c>
      <c r="M129" s="1">
        <f t="shared" si="162"/>
        <v>131268.72000000003</v>
      </c>
      <c r="N129" s="12">
        <f t="shared" si="138"/>
        <v>0.046479999999999966</v>
      </c>
      <c r="O129" s="12">
        <f t="shared" si="139"/>
        <v>-0.01124</v>
      </c>
      <c r="P129" s="12">
        <f t="shared" si="140"/>
        <v>-0.10250999999999998</v>
      </c>
      <c r="Q129" s="12">
        <f t="shared" si="141"/>
        <v>0.28656</v>
      </c>
      <c r="R129" s="12">
        <f t="shared" si="142"/>
        <v>-0.03742199999999998</v>
      </c>
      <c r="S129" s="1">
        <f t="shared" si="100"/>
        <v>387855.74892239994</v>
      </c>
      <c r="T129" s="2">
        <f t="shared" si="163"/>
        <v>0.26001095999999996</v>
      </c>
      <c r="U129" s="1">
        <f t="shared" si="102"/>
        <v>44603.411126076</v>
      </c>
      <c r="V129" s="1">
        <f t="shared" si="103"/>
        <v>27149.902424567998</v>
      </c>
      <c r="W129" s="1">
        <f t="shared" si="104"/>
        <v>13574.951212283999</v>
      </c>
      <c r="X129" s="1">
        <f t="shared" si="105"/>
        <v>62938.410166044</v>
      </c>
      <c r="Y129" s="1">
        <f t="shared" si="106"/>
        <v>4095.7567086205436</v>
      </c>
      <c r="Z129" s="1">
        <f t="shared" si="107"/>
        <v>2047.8783543102718</v>
      </c>
      <c r="AA129" s="1">
        <f t="shared" si="108"/>
        <v>9494.708733620348</v>
      </c>
      <c r="AB129" s="1">
        <f t="shared" si="109"/>
        <v>107741.23838321684</v>
      </c>
      <c r="AC129" s="1">
        <f t="shared" si="110"/>
        <v>53870.61919160842</v>
      </c>
      <c r="AD129" s="1">
        <f t="shared" si="111"/>
        <v>249763.77988836632</v>
      </c>
      <c r="AE129" s="1">
        <f t="shared" si="112"/>
        <v>63770.55961170289</v>
      </c>
      <c r="AF129" s="1">
        <f t="shared" si="113"/>
        <v>31885.279805851445</v>
      </c>
      <c r="AG129" s="1">
        <f t="shared" si="114"/>
        <v>147831.75182712942</v>
      </c>
      <c r="AH129"/>
      <c r="AI129"/>
      <c r="AJ129"/>
      <c r="AK129"/>
      <c r="AL129"/>
      <c r="AM129"/>
      <c r="AN129"/>
      <c r="AP129" t="s">
        <v>131</v>
      </c>
      <c r="AQ129" s="9" t="s">
        <v>226</v>
      </c>
      <c r="AR129" s="1">
        <v>1491690</v>
      </c>
      <c r="AS129" s="1">
        <v>387855.74892239994</v>
      </c>
      <c r="AT129" s="1">
        <v>193927.87446119997</v>
      </c>
      <c r="AU129" s="1">
        <v>899120.1452291999</v>
      </c>
      <c r="AV129" s="1">
        <v>44603.411126076</v>
      </c>
      <c r="AW129" s="1">
        <v>31028.459913791998</v>
      </c>
      <c r="AX129" s="1">
        <v>127992.39714439199</v>
      </c>
      <c r="AY129" s="1">
        <f t="shared" si="115"/>
        <v>8162.424236071907</v>
      </c>
      <c r="AZ129" s="1">
        <f t="shared" si="116"/>
        <v>4771.426711438194</v>
      </c>
      <c r="BA129" s="1">
        <f t="shared" si="117"/>
        <v>11267.410415473661</v>
      </c>
      <c r="BB129" s="1">
        <f t="shared" si="118"/>
        <v>2586.997845312408</v>
      </c>
      <c r="BC129" s="1">
        <f t="shared" si="119"/>
        <v>0</v>
      </c>
      <c r="BD129" s="1">
        <f t="shared" si="120"/>
        <v>6196.1185393077485</v>
      </c>
      <c r="BE129" s="1">
        <f>AV129*0.28</f>
        <v>12488.95511530128</v>
      </c>
      <c r="BF129" s="1">
        <f>BE129*0.514</f>
        <v>6419.322929264858</v>
      </c>
      <c r="BG129" s="1">
        <f>BE129*1.971</f>
        <v>24615.730532258825</v>
      </c>
      <c r="BH129" s="1">
        <f>AV129*0.17</f>
        <v>7582.57989143292</v>
      </c>
      <c r="BI129" s="1">
        <f>BH129*0.429</f>
        <v>3252.9267734247223</v>
      </c>
      <c r="BJ129" s="1">
        <f>BH129*2.429</f>
        <v>18418.08655629056</v>
      </c>
      <c r="BL129" s="2">
        <v>0.92</v>
      </c>
      <c r="BM129" s="2">
        <v>0</v>
      </c>
      <c r="BO129" s="1">
        <f t="shared" si="121"/>
        <v>8162.424236071907</v>
      </c>
      <c r="BP129" s="1">
        <f t="shared" si="122"/>
        <v>4771.426711438194</v>
      </c>
      <c r="BQ129" s="1">
        <f t="shared" si="123"/>
        <v>11267.410415473661</v>
      </c>
      <c r="BR129" s="1">
        <f t="shared" si="124"/>
        <v>682.9674311624756</v>
      </c>
      <c r="BS129" s="1">
        <f t="shared" si="125"/>
        <v>0</v>
      </c>
      <c r="BT129" s="1">
        <f t="shared" si="126"/>
        <v>1635.7752943772457</v>
      </c>
      <c r="BU129" s="1">
        <f t="shared" si="127"/>
        <v>12488.95511530128</v>
      </c>
      <c r="BV129" s="1">
        <f t="shared" si="128"/>
        <v>6419.322929264858</v>
      </c>
      <c r="BW129" s="1">
        <f t="shared" si="129"/>
        <v>24615.730532258825</v>
      </c>
      <c r="BX129" s="1">
        <f t="shared" si="130"/>
        <v>7582.57989143292</v>
      </c>
      <c r="BY129" s="1">
        <f t="shared" si="131"/>
        <v>3252.9267734247223</v>
      </c>
      <c r="BZ129" s="1">
        <f t="shared" si="132"/>
        <v>18418.08655629056</v>
      </c>
      <c r="CA129" s="1">
        <f t="shared" si="133"/>
        <v>42699.38071192607</v>
      </c>
      <c r="CB129" s="1">
        <f t="shared" si="134"/>
        <v>31028.459913791998</v>
      </c>
      <c r="CC129" s="1">
        <f t="shared" si="135"/>
        <v>123432.05389946149</v>
      </c>
      <c r="CD129" s="1">
        <f t="shared" si="149"/>
        <v>373582.6573620556</v>
      </c>
      <c r="CE129" s="1">
        <f t="shared" si="150"/>
        <v>186791.3286810278</v>
      </c>
      <c r="CF129" s="1">
        <f t="shared" si="151"/>
        <v>866032.5238847653</v>
      </c>
      <c r="CG129" t="s">
        <v>131</v>
      </c>
      <c r="CH129" s="9" t="s">
        <v>226</v>
      </c>
      <c r="CI129" s="1">
        <v>1491690</v>
      </c>
      <c r="CJ129" s="102">
        <v>351.4628</v>
      </c>
      <c r="CK129" s="1">
        <v>2317.99</v>
      </c>
      <c r="CL129" s="1">
        <f t="shared" si="136"/>
        <v>2669.4528</v>
      </c>
      <c r="CM129" s="1">
        <v>313.995155040556</v>
      </c>
      <c r="CN129" s="1">
        <v>1787.04667125569</v>
      </c>
      <c r="CO129" s="1">
        <f t="shared" si="137"/>
        <v>2101.0418262962457</v>
      </c>
      <c r="CP129" s="1">
        <f t="shared" si="152"/>
        <v>692.5033859472426</v>
      </c>
      <c r="CQ129" s="1">
        <f t="shared" si="153"/>
        <v>366.63179868869486</v>
      </c>
      <c r="CR129" s="1">
        <f t="shared" si="154"/>
        <v>957.2346560605696</v>
      </c>
      <c r="CS129" s="1">
        <f t="shared" si="155"/>
        <v>139.79872350104702</v>
      </c>
      <c r="CT129" s="1">
        <f t="shared" si="156"/>
        <v>17.131982268983865</v>
      </c>
      <c r="CU129" s="1">
        <f t="shared" si="157"/>
        <v>272.48475488216087</v>
      </c>
    </row>
    <row r="130" spans="1:99" ht="12.75">
      <c r="A130" t="s">
        <v>133</v>
      </c>
      <c r="B130" s="1">
        <v>81595595</v>
      </c>
      <c r="C130" s="9" t="s">
        <v>132</v>
      </c>
      <c r="D130" s="122">
        <v>4</v>
      </c>
      <c r="E130" s="30">
        <v>15.2</v>
      </c>
      <c r="F130" s="29">
        <v>34.7</v>
      </c>
      <c r="G130" s="112">
        <v>4.5</v>
      </c>
      <c r="H130" s="112">
        <v>3.9</v>
      </c>
      <c r="I130" s="1">
        <f t="shared" si="158"/>
        <v>3263823.8</v>
      </c>
      <c r="J130" s="1">
        <f t="shared" si="159"/>
        <v>12402530.44</v>
      </c>
      <c r="K130" s="1">
        <f t="shared" si="160"/>
        <v>28313671.465</v>
      </c>
      <c r="L130" s="1">
        <f t="shared" si="161"/>
        <v>3671801.775</v>
      </c>
      <c r="M130" s="1">
        <f t="shared" si="162"/>
        <v>3182228.205</v>
      </c>
      <c r="N130" s="12">
        <f t="shared" si="138"/>
        <v>-0.14312</v>
      </c>
      <c r="O130" s="12">
        <f t="shared" si="139"/>
        <v>0.02556</v>
      </c>
      <c r="P130" s="12">
        <f t="shared" si="140"/>
        <v>-0.05360999999999997</v>
      </c>
      <c r="Q130" s="12">
        <f t="shared" si="141"/>
        <v>-0.38144000000000006</v>
      </c>
      <c r="R130" s="12">
        <f t="shared" si="142"/>
        <v>-0.085932</v>
      </c>
      <c r="S130" s="1">
        <f t="shared" si="100"/>
        <v>6488543.7270522</v>
      </c>
      <c r="T130" s="2">
        <f t="shared" si="163"/>
        <v>0.07952076</v>
      </c>
      <c r="U130" s="1">
        <f t="shared" si="102"/>
        <v>746182.528611003</v>
      </c>
      <c r="V130" s="1">
        <f t="shared" si="103"/>
        <v>454198.060893654</v>
      </c>
      <c r="W130" s="1">
        <f t="shared" si="104"/>
        <v>227099.030446827</v>
      </c>
      <c r="X130" s="1">
        <f t="shared" si="105"/>
        <v>1052913.6866171071</v>
      </c>
      <c r="Y130" s="1">
        <f t="shared" si="106"/>
        <v>259541.749082088</v>
      </c>
      <c r="Z130" s="1">
        <f t="shared" si="107"/>
        <v>129770.874541044</v>
      </c>
      <c r="AA130" s="1">
        <f t="shared" si="108"/>
        <v>601664.963781204</v>
      </c>
      <c r="AB130" s="1">
        <f t="shared" si="109"/>
        <v>1871296.0108818542</v>
      </c>
      <c r="AC130" s="1">
        <f t="shared" si="110"/>
        <v>935648.0054409271</v>
      </c>
      <c r="AD130" s="1">
        <f t="shared" si="111"/>
        <v>4338004.38886248</v>
      </c>
      <c r="AE130" s="1">
        <f t="shared" si="112"/>
        <v>1107594.4142078105</v>
      </c>
      <c r="AF130" s="1">
        <f t="shared" si="113"/>
        <v>553797.2071039053</v>
      </c>
      <c r="AG130" s="1">
        <f t="shared" si="114"/>
        <v>2567605.2329362878</v>
      </c>
      <c r="AH130"/>
      <c r="AI130"/>
      <c r="AJ130"/>
      <c r="AK130"/>
      <c r="AL130"/>
      <c r="AM130"/>
      <c r="AN130"/>
      <c r="AP130" t="s">
        <v>133</v>
      </c>
      <c r="AQ130" s="9" t="s">
        <v>226</v>
      </c>
      <c r="AR130" s="1">
        <v>81595595</v>
      </c>
      <c r="AS130" s="1">
        <v>6488543.7270522</v>
      </c>
      <c r="AT130" s="1">
        <v>3244271.8635261</v>
      </c>
      <c r="AU130" s="1">
        <v>15041624.0945301</v>
      </c>
      <c r="AV130" s="1">
        <v>746182.528611003</v>
      </c>
      <c r="AW130" s="1">
        <v>519083.498164176</v>
      </c>
      <c r="AX130" s="1">
        <v>2141219.429927226</v>
      </c>
      <c r="AY130" s="1">
        <f t="shared" si="115"/>
        <v>136551.40273581355</v>
      </c>
      <c r="AZ130" s="1">
        <f t="shared" si="116"/>
        <v>79822.48798324716</v>
      </c>
      <c r="BA130" s="1">
        <f t="shared" si="117"/>
        <v>188495.55633651704</v>
      </c>
      <c r="BB130" s="1">
        <f t="shared" si="118"/>
        <v>43278.58665943817</v>
      </c>
      <c r="BC130" s="1">
        <f t="shared" si="119"/>
        <v>0</v>
      </c>
      <c r="BD130" s="1">
        <f t="shared" si="120"/>
        <v>103656.54290802036</v>
      </c>
      <c r="BE130" s="1">
        <f aca="true" t="shared" si="170" ref="BE130:BE150">AV130*0.28</f>
        <v>208931.10801108085</v>
      </c>
      <c r="BF130" s="1">
        <f aca="true" t="shared" si="171" ref="BF130:BF150">BE130*0.514</f>
        <v>107390.58951769557</v>
      </c>
      <c r="BG130" s="1">
        <f aca="true" t="shared" si="172" ref="BG130:BG150">BE130*1.971</f>
        <v>411803.2138898404</v>
      </c>
      <c r="BH130" s="1">
        <f aca="true" t="shared" si="173" ref="BH130:BH150">AV130*0.17</f>
        <v>126851.02986387051</v>
      </c>
      <c r="BI130" s="1">
        <f aca="true" t="shared" si="174" ref="BI130:BI150">BH130*0.429</f>
        <v>54419.09181160045</v>
      </c>
      <c r="BJ130" s="1">
        <f aca="true" t="shared" si="175" ref="BJ130:BJ150">BH130*2.429</f>
        <v>308121.15153934143</v>
      </c>
      <c r="BL130" s="2">
        <v>0</v>
      </c>
      <c r="BM130" s="2">
        <v>0</v>
      </c>
      <c r="BO130" s="1">
        <f t="shared" si="121"/>
        <v>136551.40273581355</v>
      </c>
      <c r="BP130" s="1">
        <f t="shared" si="122"/>
        <v>79822.48798324716</v>
      </c>
      <c r="BQ130" s="1">
        <f t="shared" si="123"/>
        <v>188495.55633651704</v>
      </c>
      <c r="BR130" s="1">
        <f t="shared" si="124"/>
        <v>43278.58665943817</v>
      </c>
      <c r="BS130" s="1">
        <f t="shared" si="125"/>
        <v>0</v>
      </c>
      <c r="BT130" s="1">
        <f t="shared" si="126"/>
        <v>103656.54290802036</v>
      </c>
      <c r="BU130" s="1">
        <f t="shared" si="127"/>
        <v>208931.10801108085</v>
      </c>
      <c r="BV130" s="1">
        <f t="shared" si="128"/>
        <v>107390.58951769557</v>
      </c>
      <c r="BW130" s="1">
        <f t="shared" si="129"/>
        <v>411803.2138898404</v>
      </c>
      <c r="BX130" s="1">
        <f t="shared" si="130"/>
        <v>126851.02986387051</v>
      </c>
      <c r="BY130" s="1">
        <f t="shared" si="131"/>
        <v>54419.09181160045</v>
      </c>
      <c r="BZ130" s="1">
        <f t="shared" si="132"/>
        <v>308121.15153934143</v>
      </c>
      <c r="CA130" s="1">
        <f t="shared" si="133"/>
        <v>746182.528611003</v>
      </c>
      <c r="CB130" s="1">
        <f t="shared" si="134"/>
        <v>519083.498164176</v>
      </c>
      <c r="CC130" s="1">
        <f t="shared" si="135"/>
        <v>2141219.429927226</v>
      </c>
      <c r="CD130" s="1">
        <f t="shared" si="149"/>
        <v>6488543.7270522</v>
      </c>
      <c r="CE130" s="1">
        <f t="shared" si="150"/>
        <v>3244271.8635261</v>
      </c>
      <c r="CF130" s="1">
        <f t="shared" si="151"/>
        <v>15041624.0945301</v>
      </c>
      <c r="CG130" t="s">
        <v>133</v>
      </c>
      <c r="CH130" s="9" t="s">
        <v>226</v>
      </c>
      <c r="CI130" s="1">
        <v>81595595</v>
      </c>
      <c r="CJ130" s="102">
        <v>7525.574</v>
      </c>
      <c r="CK130" s="1">
        <v>47154.7</v>
      </c>
      <c r="CL130" s="1">
        <f t="shared" si="136"/>
        <v>54680.274</v>
      </c>
      <c r="CM130" s="1">
        <v>5964.30868142815</v>
      </c>
      <c r="CN130" s="1">
        <v>37124.9233584356</v>
      </c>
      <c r="CO130" s="1">
        <f t="shared" si="137"/>
        <v>43089.232039863746</v>
      </c>
      <c r="CP130" s="1">
        <f t="shared" si="152"/>
        <v>14202.210880339091</v>
      </c>
      <c r="CQ130" s="1">
        <f t="shared" si="153"/>
        <v>7519.070990956223</v>
      </c>
      <c r="CR130" s="1">
        <f t="shared" si="154"/>
        <v>19631.45411736192</v>
      </c>
      <c r="CS130" s="1">
        <f t="shared" si="155"/>
        <v>9160.770731675033</v>
      </c>
      <c r="CT130" s="1">
        <f t="shared" si="156"/>
        <v>1301.2948076038851</v>
      </c>
      <c r="CU130" s="1">
        <f t="shared" si="157"/>
        <v>15546.59491998284</v>
      </c>
    </row>
    <row r="131" spans="1:99" ht="12.75">
      <c r="A131" t="s">
        <v>134</v>
      </c>
      <c r="B131" s="1">
        <v>2096.103216291237</v>
      </c>
      <c r="C131" s="9" t="s">
        <v>132</v>
      </c>
      <c r="D131" s="107">
        <v>12.5</v>
      </c>
      <c r="E131" s="122">
        <v>3</v>
      </c>
      <c r="F131" s="107">
        <v>54.5</v>
      </c>
      <c r="G131" s="122">
        <v>5</v>
      </c>
      <c r="H131" s="107">
        <v>7</v>
      </c>
      <c r="I131" s="1">
        <f t="shared" si="158"/>
        <v>262.0129020364046</v>
      </c>
      <c r="J131" s="1">
        <f t="shared" si="159"/>
        <v>62.88309648873711</v>
      </c>
      <c r="K131" s="1">
        <f t="shared" si="160"/>
        <v>1142.3762528787242</v>
      </c>
      <c r="L131" s="1">
        <f t="shared" si="161"/>
        <v>104.80516081456186</v>
      </c>
      <c r="M131" s="1">
        <f t="shared" si="162"/>
        <v>146.7272251403866</v>
      </c>
      <c r="N131" s="12">
        <f t="shared" si="138"/>
        <v>-0.07512000000000002</v>
      </c>
      <c r="O131" s="12">
        <f t="shared" si="139"/>
        <v>-0.02324</v>
      </c>
      <c r="P131" s="12">
        <f t="shared" si="140"/>
        <v>0.005790000000000029</v>
      </c>
      <c r="Q131" s="12">
        <f t="shared" si="141"/>
        <v>-0.37744000000000005</v>
      </c>
      <c r="R131" s="12">
        <f t="shared" si="142"/>
        <v>-0.055241999999999986</v>
      </c>
      <c r="S131" s="1">
        <f t="shared" si="100"/>
        <v>218.92657814012307</v>
      </c>
      <c r="T131" s="2">
        <f t="shared" si="163"/>
        <v>0.10444455999999999</v>
      </c>
      <c r="U131" s="1">
        <f t="shared" si="102"/>
        <v>25.176556486114155</v>
      </c>
      <c r="V131" s="1">
        <f t="shared" si="103"/>
        <v>15.324860469808616</v>
      </c>
      <c r="W131" s="1">
        <f t="shared" si="104"/>
        <v>7.662430234904308</v>
      </c>
      <c r="X131" s="1">
        <f t="shared" si="105"/>
        <v>35.52581290728361</v>
      </c>
      <c r="Y131" s="1">
        <f t="shared" si="106"/>
        <v>1.8214691301258235</v>
      </c>
      <c r="Z131" s="1">
        <f t="shared" si="107"/>
        <v>0.9107345650629117</v>
      </c>
      <c r="AA131" s="1">
        <f t="shared" si="108"/>
        <v>4.222496619837138</v>
      </c>
      <c r="AB131" s="1">
        <f t="shared" si="109"/>
        <v>60.63814350024128</v>
      </c>
      <c r="AC131" s="1">
        <f t="shared" si="110"/>
        <v>30.31907175012064</v>
      </c>
      <c r="AD131" s="1">
        <f t="shared" si="111"/>
        <v>140.57024175055932</v>
      </c>
      <c r="AE131" s="1">
        <f t="shared" si="112"/>
        <v>35.89088451973365</v>
      </c>
      <c r="AF131" s="1">
        <f t="shared" si="113"/>
        <v>17.945442259866827</v>
      </c>
      <c r="AG131" s="1">
        <f t="shared" si="114"/>
        <v>83.20159593210983</v>
      </c>
      <c r="AH131"/>
      <c r="AI131"/>
      <c r="AJ131"/>
      <c r="AK131"/>
      <c r="AL131"/>
      <c r="AM131"/>
      <c r="AN131"/>
      <c r="AP131" t="s">
        <v>134</v>
      </c>
      <c r="AQ131" s="9" t="s">
        <v>226</v>
      </c>
      <c r="AR131" s="1">
        <v>2096.103216291237</v>
      </c>
      <c r="AS131" s="1">
        <v>218.92657814012307</v>
      </c>
      <c r="AT131" s="1">
        <v>109.46328907006153</v>
      </c>
      <c r="AU131" s="1">
        <v>507.5116129611944</v>
      </c>
      <c r="AV131" s="1">
        <v>25.176556486114155</v>
      </c>
      <c r="AW131" s="1">
        <v>17.514126251209845</v>
      </c>
      <c r="AX131" s="1">
        <v>72.24577078624061</v>
      </c>
      <c r="AY131" s="1">
        <f t="shared" si="115"/>
        <v>4.6073098369588905</v>
      </c>
      <c r="AZ131" s="1">
        <f t="shared" si="116"/>
        <v>2.693249038292689</v>
      </c>
      <c r="BA131" s="1">
        <f t="shared" si="117"/>
        <v>6.359930498938053</v>
      </c>
      <c r="BB131" s="1">
        <f t="shared" si="118"/>
        <v>1.4602402761946212</v>
      </c>
      <c r="BC131" s="1">
        <f t="shared" si="119"/>
        <v>0</v>
      </c>
      <c r="BD131" s="1">
        <f t="shared" si="120"/>
        <v>3.497421485513737</v>
      </c>
      <c r="BE131" s="1">
        <f t="shared" si="170"/>
        <v>7.049435816111964</v>
      </c>
      <c r="BF131" s="1">
        <f t="shared" si="171"/>
        <v>3.6234100094815496</v>
      </c>
      <c r="BG131" s="1">
        <f t="shared" si="172"/>
        <v>13.89443799355668</v>
      </c>
      <c r="BH131" s="1">
        <f t="shared" si="173"/>
        <v>4.280014602639406</v>
      </c>
      <c r="BI131" s="1">
        <f t="shared" si="174"/>
        <v>1.8361262645323053</v>
      </c>
      <c r="BJ131" s="1">
        <f t="shared" si="175"/>
        <v>10.396155469811116</v>
      </c>
      <c r="BL131" s="2">
        <v>0.99</v>
      </c>
      <c r="BM131" s="2">
        <v>0</v>
      </c>
      <c r="BO131" s="1">
        <f t="shared" si="121"/>
        <v>4.6073098369588905</v>
      </c>
      <c r="BP131" s="1">
        <f t="shared" si="122"/>
        <v>2.693249038292689</v>
      </c>
      <c r="BQ131" s="1">
        <f t="shared" si="123"/>
        <v>6.359930498938053</v>
      </c>
      <c r="BR131" s="1">
        <f t="shared" si="124"/>
        <v>0.3037299774484812</v>
      </c>
      <c r="BS131" s="1">
        <f t="shared" si="125"/>
        <v>0</v>
      </c>
      <c r="BT131" s="1">
        <f t="shared" si="126"/>
        <v>0.7274636689868572</v>
      </c>
      <c r="BU131" s="1">
        <f t="shared" si="127"/>
        <v>7.049435816111964</v>
      </c>
      <c r="BV131" s="1">
        <f t="shared" si="128"/>
        <v>3.6234100094815496</v>
      </c>
      <c r="BW131" s="1">
        <f t="shared" si="129"/>
        <v>13.89443799355668</v>
      </c>
      <c r="BX131" s="1">
        <f t="shared" si="130"/>
        <v>4.280014602639406</v>
      </c>
      <c r="BY131" s="1">
        <f t="shared" si="131"/>
        <v>1.8361262645323053</v>
      </c>
      <c r="BZ131" s="1">
        <f t="shared" si="132"/>
        <v>10.396155469811116</v>
      </c>
      <c r="CA131" s="1">
        <f t="shared" si="133"/>
        <v>24.020046187368013</v>
      </c>
      <c r="CB131" s="1">
        <f t="shared" si="134"/>
        <v>17.514126251209845</v>
      </c>
      <c r="CC131" s="1">
        <f t="shared" si="135"/>
        <v>69.47581296971373</v>
      </c>
      <c r="CD131" s="1">
        <f t="shared" si="149"/>
        <v>210.2570856457742</v>
      </c>
      <c r="CE131" s="1">
        <f t="shared" si="150"/>
        <v>105.1285428228871</v>
      </c>
      <c r="CF131" s="1">
        <f t="shared" si="151"/>
        <v>487.4141530879311</v>
      </c>
      <c r="CG131" t="s">
        <v>134</v>
      </c>
      <c r="CH131" s="9" t="s">
        <v>226</v>
      </c>
      <c r="CI131" s="1">
        <v>2096.103216291237</v>
      </c>
      <c r="CJ131" s="102">
        <v>0.0206618</v>
      </c>
      <c r="CK131" s="1">
        <v>0.1963528</v>
      </c>
      <c r="CL131" s="1">
        <f t="shared" si="136"/>
        <v>0.2170146</v>
      </c>
      <c r="CM131" s="1">
        <v>0.0206618</v>
      </c>
      <c r="CN131" s="1">
        <v>0.1963528</v>
      </c>
      <c r="CO131" s="1">
        <f t="shared" si="137"/>
        <v>0.2170146</v>
      </c>
      <c r="CP131" s="1">
        <f t="shared" si="152"/>
        <v>0.07152801216</v>
      </c>
      <c r="CQ131" s="1">
        <f t="shared" si="153"/>
        <v>0.0378690477</v>
      </c>
      <c r="CR131" s="1">
        <f t="shared" si="154"/>
        <v>0.09887185176</v>
      </c>
      <c r="CS131" s="1">
        <f t="shared" si="155"/>
        <v>0.011539585377951099</v>
      </c>
      <c r="CT131" s="1">
        <f t="shared" si="156"/>
        <v>0.0013966034308606982</v>
      </c>
      <c r="CU131" s="1">
        <f t="shared" si="157"/>
        <v>0.022801885284182047</v>
      </c>
    </row>
    <row r="132" spans="1:99" ht="12.75">
      <c r="A132" t="s">
        <v>135</v>
      </c>
      <c r="B132" s="1">
        <v>89552</v>
      </c>
      <c r="C132" s="9" t="s">
        <v>132</v>
      </c>
      <c r="D132" s="122">
        <v>6.9</v>
      </c>
      <c r="E132" s="122">
        <v>10</v>
      </c>
      <c r="F132" s="122">
        <v>60</v>
      </c>
      <c r="G132" s="107">
        <v>41</v>
      </c>
      <c r="H132" s="107">
        <v>7</v>
      </c>
      <c r="I132" s="1">
        <f t="shared" si="158"/>
        <v>6179.088000000001</v>
      </c>
      <c r="J132" s="1">
        <f t="shared" si="159"/>
        <v>8955.2</v>
      </c>
      <c r="K132" s="1">
        <f t="shared" si="160"/>
        <v>53731.2</v>
      </c>
      <c r="L132" s="1">
        <f t="shared" si="161"/>
        <v>36716.32</v>
      </c>
      <c r="M132" s="1">
        <f t="shared" si="162"/>
        <v>6268.64</v>
      </c>
      <c r="N132" s="12">
        <f t="shared" si="138"/>
        <v>-0.11992000000000001</v>
      </c>
      <c r="O132" s="12">
        <f t="shared" si="139"/>
        <v>0.004760000000000004</v>
      </c>
      <c r="P132" s="12">
        <f t="shared" si="140"/>
        <v>0.022290000000000008</v>
      </c>
      <c r="Q132" s="12">
        <f t="shared" si="141"/>
        <v>-0.08944000000000006</v>
      </c>
      <c r="R132" s="12">
        <f t="shared" si="142"/>
        <v>-0.055241999999999986</v>
      </c>
      <c r="S132" s="1">
        <f t="shared" si="100"/>
        <v>15021.323525119999</v>
      </c>
      <c r="T132" s="2">
        <f t="shared" si="163"/>
        <v>0.16773855999999998</v>
      </c>
      <c r="U132" s="1">
        <f t="shared" si="102"/>
        <v>1727.4522053888</v>
      </c>
      <c r="V132" s="1">
        <f t="shared" si="103"/>
        <v>1051.4926467584</v>
      </c>
      <c r="W132" s="1">
        <f t="shared" si="104"/>
        <v>525.7463233792</v>
      </c>
      <c r="X132" s="1">
        <f t="shared" si="105"/>
        <v>2437.5511356672</v>
      </c>
      <c r="Y132" s="1">
        <f t="shared" si="106"/>
        <v>124.97741172899839</v>
      </c>
      <c r="Z132" s="1">
        <f t="shared" si="107"/>
        <v>62.488705864499195</v>
      </c>
      <c r="AA132" s="1">
        <f t="shared" si="108"/>
        <v>289.72036355358705</v>
      </c>
      <c r="AB132" s="1">
        <f t="shared" si="109"/>
        <v>4160.596576340681</v>
      </c>
      <c r="AC132" s="1">
        <f t="shared" si="110"/>
        <v>2080.2982881703406</v>
      </c>
      <c r="AD132" s="1">
        <f t="shared" si="111"/>
        <v>9645.019336062487</v>
      </c>
      <c r="AE132" s="1">
        <f t="shared" si="112"/>
        <v>2462.5999846787595</v>
      </c>
      <c r="AF132" s="1">
        <f t="shared" si="113"/>
        <v>1231.2999923393797</v>
      </c>
      <c r="AG132" s="1">
        <f t="shared" si="114"/>
        <v>5708.754509937124</v>
      </c>
      <c r="AH132"/>
      <c r="AI132"/>
      <c r="AJ132"/>
      <c r="AK132"/>
      <c r="AL132"/>
      <c r="AM132"/>
      <c r="AN132"/>
      <c r="AP132" t="s">
        <v>135</v>
      </c>
      <c r="AQ132" s="9" t="s">
        <v>226</v>
      </c>
      <c r="AR132" s="1">
        <v>89552</v>
      </c>
      <c r="AS132" s="1">
        <v>15021.323525119999</v>
      </c>
      <c r="AT132" s="1">
        <v>7510.661762559999</v>
      </c>
      <c r="AU132" s="1">
        <v>34822.159080959995</v>
      </c>
      <c r="AV132" s="1">
        <v>1727.4522053888</v>
      </c>
      <c r="AW132" s="1">
        <v>1201.7058820096</v>
      </c>
      <c r="AX132" s="1">
        <v>4957.0367632896</v>
      </c>
      <c r="AY132" s="1">
        <f t="shared" si="115"/>
        <v>316.12375358615037</v>
      </c>
      <c r="AZ132" s="1">
        <f t="shared" si="116"/>
        <v>184.79330139632006</v>
      </c>
      <c r="BA132" s="1">
        <f t="shared" si="117"/>
        <v>436.377229450322</v>
      </c>
      <c r="BB132" s="1">
        <f t="shared" si="118"/>
        <v>100.19222791255041</v>
      </c>
      <c r="BC132" s="1">
        <f t="shared" si="119"/>
        <v>0</v>
      </c>
      <c r="BD132" s="1">
        <f t="shared" si="120"/>
        <v>239.97040507334947</v>
      </c>
      <c r="BE132" s="1">
        <f t="shared" si="170"/>
        <v>483.686617508864</v>
      </c>
      <c r="BF132" s="1">
        <f t="shared" si="171"/>
        <v>248.6149213995561</v>
      </c>
      <c r="BG132" s="1">
        <f t="shared" si="172"/>
        <v>953.346323109971</v>
      </c>
      <c r="BH132" s="1">
        <f t="shared" si="173"/>
        <v>293.666874916096</v>
      </c>
      <c r="BI132" s="1">
        <f t="shared" si="174"/>
        <v>125.98308933900518</v>
      </c>
      <c r="BJ132" s="1">
        <f t="shared" si="175"/>
        <v>713.3168391711971</v>
      </c>
      <c r="BL132" s="2">
        <v>0.99</v>
      </c>
      <c r="BM132" s="2">
        <v>0</v>
      </c>
      <c r="BO132" s="1">
        <f t="shared" si="121"/>
        <v>316.12375358615037</v>
      </c>
      <c r="BP132" s="1">
        <f t="shared" si="122"/>
        <v>184.79330139632006</v>
      </c>
      <c r="BQ132" s="1">
        <f t="shared" si="123"/>
        <v>436.377229450322</v>
      </c>
      <c r="BR132" s="1">
        <f t="shared" si="124"/>
        <v>20.839983405810486</v>
      </c>
      <c r="BS132" s="1">
        <f t="shared" si="125"/>
        <v>0</v>
      </c>
      <c r="BT132" s="1">
        <f t="shared" si="126"/>
        <v>49.91384425525669</v>
      </c>
      <c r="BU132" s="1">
        <f t="shared" si="127"/>
        <v>483.686617508864</v>
      </c>
      <c r="BV132" s="1">
        <f t="shared" si="128"/>
        <v>248.6149213995561</v>
      </c>
      <c r="BW132" s="1">
        <f t="shared" si="129"/>
        <v>953.346323109971</v>
      </c>
      <c r="BX132" s="1">
        <f t="shared" si="130"/>
        <v>293.666874916096</v>
      </c>
      <c r="BY132" s="1">
        <f t="shared" si="131"/>
        <v>125.98308933900518</v>
      </c>
      <c r="BZ132" s="1">
        <f t="shared" si="132"/>
        <v>713.3168391711971</v>
      </c>
      <c r="CA132" s="1">
        <f t="shared" si="133"/>
        <v>1648.09996088206</v>
      </c>
      <c r="CB132" s="1">
        <f t="shared" si="134"/>
        <v>1201.7058820096</v>
      </c>
      <c r="CC132" s="1">
        <f t="shared" si="135"/>
        <v>4766.980202471506</v>
      </c>
      <c r="CD132" s="1">
        <f t="shared" si="149"/>
        <v>14426.479113525247</v>
      </c>
      <c r="CE132" s="1">
        <f t="shared" si="150"/>
        <v>7213.239556762624</v>
      </c>
      <c r="CF132" s="1">
        <f t="shared" si="151"/>
        <v>33443.20158135398</v>
      </c>
      <c r="CG132" t="s">
        <v>135</v>
      </c>
      <c r="CH132" s="9" t="s">
        <v>226</v>
      </c>
      <c r="CI132" s="1">
        <v>89552</v>
      </c>
      <c r="CJ132" s="102">
        <v>2.108189</v>
      </c>
      <c r="CK132" s="1">
        <v>30.70274</v>
      </c>
      <c r="CL132" s="1">
        <f t="shared" si="136"/>
        <v>32.810929</v>
      </c>
      <c r="CM132" s="1">
        <v>1.99423283783784</v>
      </c>
      <c r="CN132" s="1">
        <v>28.0119184514964</v>
      </c>
      <c r="CO132" s="1">
        <f t="shared" si="137"/>
        <v>30.006151289334237</v>
      </c>
      <c r="CP132" s="1">
        <f t="shared" si="152"/>
        <v>9.890027464964565</v>
      </c>
      <c r="CQ132" s="1">
        <f t="shared" si="153"/>
        <v>5.2360733999888245</v>
      </c>
      <c r="CR132" s="1">
        <f t="shared" si="154"/>
        <v>13.670802527420678</v>
      </c>
      <c r="CS132" s="1">
        <f t="shared" si="155"/>
        <v>1.5955541455136653</v>
      </c>
      <c r="CT132" s="1">
        <f t="shared" si="156"/>
        <v>0.19310541243588847</v>
      </c>
      <c r="CU132" s="1">
        <f t="shared" si="157"/>
        <v>3.15276861335233</v>
      </c>
    </row>
    <row r="133" spans="1:99" ht="12.75">
      <c r="A133" t="s">
        <v>136</v>
      </c>
      <c r="B133" s="1">
        <v>9948.139204905741</v>
      </c>
      <c r="C133" s="9" t="s">
        <v>132</v>
      </c>
      <c r="D133" s="107">
        <v>12.5</v>
      </c>
      <c r="E133" s="122">
        <v>5</v>
      </c>
      <c r="F133" s="107">
        <v>54.5</v>
      </c>
      <c r="G133" s="107">
        <v>41</v>
      </c>
      <c r="H133" s="107">
        <v>7</v>
      </c>
      <c r="I133" s="1">
        <f t="shared" si="158"/>
        <v>1243.5174006132177</v>
      </c>
      <c r="J133" s="1">
        <f t="shared" si="159"/>
        <v>497.40696024528705</v>
      </c>
      <c r="K133" s="1">
        <f t="shared" si="160"/>
        <v>5421.735866673629</v>
      </c>
      <c r="L133" s="1">
        <f t="shared" si="161"/>
        <v>4078.7370740113543</v>
      </c>
      <c r="M133" s="1">
        <f t="shared" si="162"/>
        <v>696.3697443434019</v>
      </c>
      <c r="N133" s="12">
        <f t="shared" si="138"/>
        <v>-0.07512000000000002</v>
      </c>
      <c r="O133" s="12">
        <f t="shared" si="139"/>
        <v>-0.015239999999999998</v>
      </c>
      <c r="P133" s="12">
        <f t="shared" si="140"/>
        <v>0.005790000000000029</v>
      </c>
      <c r="Q133" s="12">
        <f t="shared" si="141"/>
        <v>-0.08944000000000006</v>
      </c>
      <c r="R133" s="12">
        <f t="shared" si="142"/>
        <v>-0.055241999999999986</v>
      </c>
      <c r="S133" s="1">
        <f t="shared" si="100"/>
        <v>1686.8518470985916</v>
      </c>
      <c r="T133" s="2">
        <f t="shared" si="163"/>
        <v>0.16956455999999998</v>
      </c>
      <c r="U133" s="1">
        <f t="shared" si="102"/>
        <v>193.98796241633804</v>
      </c>
      <c r="V133" s="1">
        <f t="shared" si="103"/>
        <v>118.07962929690143</v>
      </c>
      <c r="W133" s="1">
        <f t="shared" si="104"/>
        <v>59.039814648450715</v>
      </c>
      <c r="X133" s="1">
        <f t="shared" si="105"/>
        <v>273.730049733726</v>
      </c>
      <c r="Y133" s="1">
        <f t="shared" si="106"/>
        <v>18.35294809643267</v>
      </c>
      <c r="Z133" s="1">
        <f t="shared" si="107"/>
        <v>9.176474048216335</v>
      </c>
      <c r="AA133" s="1">
        <f t="shared" si="108"/>
        <v>42.54547058718484</v>
      </c>
      <c r="AB133" s="1">
        <f t="shared" si="109"/>
        <v>468.77990685683613</v>
      </c>
      <c r="AC133" s="1">
        <f t="shared" si="110"/>
        <v>234.38995342841807</v>
      </c>
      <c r="AD133" s="1">
        <f t="shared" si="111"/>
        <v>1086.7170568044835</v>
      </c>
      <c r="AE133" s="1">
        <f t="shared" si="112"/>
        <v>277.46439008481946</v>
      </c>
      <c r="AF133" s="1">
        <f t="shared" si="113"/>
        <v>138.73219504240973</v>
      </c>
      <c r="AG133" s="1">
        <f t="shared" si="114"/>
        <v>643.2129042875358</v>
      </c>
      <c r="AH133"/>
      <c r="AI133"/>
      <c r="AJ133"/>
      <c r="AK133"/>
      <c r="AL133"/>
      <c r="AM133"/>
      <c r="AN133"/>
      <c r="AP133" t="s">
        <v>136</v>
      </c>
      <c r="AQ133" s="9" t="s">
        <v>226</v>
      </c>
      <c r="AR133" s="1">
        <v>9948.139204905741</v>
      </c>
      <c r="AS133" s="1">
        <v>1686.8518470985916</v>
      </c>
      <c r="AT133" s="1">
        <v>843.4259235492958</v>
      </c>
      <c r="AU133" s="1">
        <v>3910.429281910371</v>
      </c>
      <c r="AV133" s="1">
        <v>193.98796241633804</v>
      </c>
      <c r="AW133" s="1">
        <v>134.94814776788732</v>
      </c>
      <c r="AX133" s="1">
        <v>556.6611095425353</v>
      </c>
      <c r="AY133" s="1">
        <f t="shared" si="115"/>
        <v>35.49979712218986</v>
      </c>
      <c r="AZ133" s="1">
        <f t="shared" si="116"/>
        <v>20.751761405747303</v>
      </c>
      <c r="BA133" s="1">
        <f t="shared" si="117"/>
        <v>49.003919947470884</v>
      </c>
      <c r="BB133" s="1">
        <f t="shared" si="118"/>
        <v>11.251301820147606</v>
      </c>
      <c r="BC133" s="1">
        <f t="shared" si="119"/>
        <v>0</v>
      </c>
      <c r="BD133" s="1">
        <f t="shared" si="120"/>
        <v>26.94799298943553</v>
      </c>
      <c r="BE133" s="1">
        <f t="shared" si="170"/>
        <v>54.316629476574654</v>
      </c>
      <c r="BF133" s="1">
        <f t="shared" si="171"/>
        <v>27.918747550959374</v>
      </c>
      <c r="BG133" s="1">
        <f t="shared" si="172"/>
        <v>107.05807669832865</v>
      </c>
      <c r="BH133" s="1">
        <f t="shared" si="173"/>
        <v>32.97795361077747</v>
      </c>
      <c r="BI133" s="1">
        <f t="shared" si="174"/>
        <v>14.147542099023534</v>
      </c>
      <c r="BJ133" s="1">
        <f t="shared" si="175"/>
        <v>80.10344932057846</v>
      </c>
      <c r="BL133" s="2">
        <v>0.91</v>
      </c>
      <c r="BM133" s="2">
        <v>0</v>
      </c>
      <c r="BO133" s="1">
        <f t="shared" si="121"/>
        <v>35.49979712218986</v>
      </c>
      <c r="BP133" s="1">
        <f t="shared" si="122"/>
        <v>20.751761405747303</v>
      </c>
      <c r="BQ133" s="1">
        <f t="shared" si="123"/>
        <v>49.003919947470884</v>
      </c>
      <c r="BR133" s="1">
        <f t="shared" si="124"/>
        <v>3.0603540950801484</v>
      </c>
      <c r="BS133" s="1">
        <f t="shared" si="125"/>
        <v>0</v>
      </c>
      <c r="BT133" s="1">
        <f t="shared" si="126"/>
        <v>7.329854093126464</v>
      </c>
      <c r="BU133" s="1">
        <f t="shared" si="127"/>
        <v>54.316629476574654</v>
      </c>
      <c r="BV133" s="1">
        <f t="shared" si="128"/>
        <v>27.918747550959374</v>
      </c>
      <c r="BW133" s="1">
        <f t="shared" si="129"/>
        <v>107.05807669832865</v>
      </c>
      <c r="BX133" s="1">
        <f t="shared" si="130"/>
        <v>32.97795361077747</v>
      </c>
      <c r="BY133" s="1">
        <f t="shared" si="131"/>
        <v>14.147542099023534</v>
      </c>
      <c r="BZ133" s="1">
        <f t="shared" si="132"/>
        <v>80.10344932057846</v>
      </c>
      <c r="CA133" s="1">
        <f t="shared" si="133"/>
        <v>185.7970146912706</v>
      </c>
      <c r="CB133" s="1">
        <f t="shared" si="134"/>
        <v>134.94814776788732</v>
      </c>
      <c r="CC133" s="1">
        <f t="shared" si="135"/>
        <v>537.0429706462262</v>
      </c>
      <c r="CD133" s="1">
        <f t="shared" si="149"/>
        <v>1625.450439864203</v>
      </c>
      <c r="CE133" s="1">
        <f t="shared" si="150"/>
        <v>812.7252199321015</v>
      </c>
      <c r="CF133" s="1">
        <f t="shared" si="151"/>
        <v>3768.0896560488336</v>
      </c>
      <c r="CG133" t="s">
        <v>136</v>
      </c>
      <c r="CH133" s="9" t="s">
        <v>226</v>
      </c>
      <c r="CI133" s="1">
        <v>9948.139204905741</v>
      </c>
      <c r="CJ133" s="102">
        <v>4.93326</v>
      </c>
      <c r="CK133" s="1">
        <v>14.71379</v>
      </c>
      <c r="CL133" s="1">
        <f t="shared" si="136"/>
        <v>19.64705</v>
      </c>
      <c r="CM133" s="1">
        <v>4.8099285</v>
      </c>
      <c r="CN133" s="1">
        <v>14.4780767504488</v>
      </c>
      <c r="CO133" s="1">
        <f t="shared" si="137"/>
        <v>19.288005250448798</v>
      </c>
      <c r="CP133" s="1">
        <f t="shared" si="152"/>
        <v>6.357326530547923</v>
      </c>
      <c r="CQ133" s="1">
        <f t="shared" si="153"/>
        <v>3.365756916203315</v>
      </c>
      <c r="CR133" s="1">
        <f t="shared" si="154"/>
        <v>8.787615192104472</v>
      </c>
      <c r="CS133" s="1">
        <f t="shared" si="155"/>
        <v>1.319611268093067</v>
      </c>
      <c r="CT133" s="1">
        <f t="shared" si="156"/>
        <v>0.16200108130236787</v>
      </c>
      <c r="CU133" s="1">
        <f t="shared" si="157"/>
        <v>2.567180276804606</v>
      </c>
    </row>
    <row r="134" spans="1:99" ht="12.75">
      <c r="A134" t="s">
        <v>137</v>
      </c>
      <c r="B134" s="1">
        <v>682861</v>
      </c>
      <c r="C134" s="9" t="s">
        <v>132</v>
      </c>
      <c r="D134" s="122">
        <v>31</v>
      </c>
      <c r="E134" s="122">
        <v>11</v>
      </c>
      <c r="F134" s="122">
        <v>74</v>
      </c>
      <c r="G134" s="122">
        <v>98</v>
      </c>
      <c r="H134" s="107">
        <v>7</v>
      </c>
      <c r="I134" s="1">
        <f t="shared" si="158"/>
        <v>211686.91</v>
      </c>
      <c r="J134" s="1">
        <f t="shared" si="159"/>
        <v>75114.71</v>
      </c>
      <c r="K134" s="1">
        <f t="shared" si="160"/>
        <v>505317.14</v>
      </c>
      <c r="L134" s="1">
        <f t="shared" si="161"/>
        <v>669203.78</v>
      </c>
      <c r="M134" s="1">
        <f t="shared" si="162"/>
        <v>47800.27</v>
      </c>
      <c r="N134" s="12">
        <f t="shared" si="138"/>
        <v>0.07287999999999999</v>
      </c>
      <c r="O134" s="12">
        <f t="shared" si="139"/>
        <v>0.008760000000000002</v>
      </c>
      <c r="P134" s="12">
        <f t="shared" si="140"/>
        <v>0.06429000000000001</v>
      </c>
      <c r="Q134" s="12">
        <f t="shared" si="141"/>
        <v>0.36656</v>
      </c>
      <c r="R134" s="12">
        <f t="shared" si="142"/>
        <v>-0.055241999999999986</v>
      </c>
      <c r="S134" s="1">
        <f t="shared" si="100"/>
        <v>218921.52183616</v>
      </c>
      <c r="T134" s="2">
        <f t="shared" si="163"/>
        <v>0.32059456000000003</v>
      </c>
      <c r="U134" s="1">
        <f t="shared" si="102"/>
        <v>25175.975011158404</v>
      </c>
      <c r="V134" s="1">
        <f t="shared" si="103"/>
        <v>15324.506528531203</v>
      </c>
      <c r="W134" s="1">
        <f t="shared" si="104"/>
        <v>7662.2532642656015</v>
      </c>
      <c r="X134" s="1">
        <f t="shared" si="105"/>
        <v>35524.992407049605</v>
      </c>
      <c r="Y134" s="1">
        <f t="shared" si="106"/>
        <v>3572.7992363661315</v>
      </c>
      <c r="Z134" s="1">
        <f t="shared" si="107"/>
        <v>1786.3996181830657</v>
      </c>
      <c r="AA134" s="1">
        <f t="shared" si="108"/>
        <v>8282.398229757851</v>
      </c>
      <c r="AB134" s="1">
        <f t="shared" si="109"/>
        <v>61268.112677381105</v>
      </c>
      <c r="AC134" s="1">
        <f t="shared" si="110"/>
        <v>30634.056338690552</v>
      </c>
      <c r="AD134" s="1">
        <f t="shared" si="111"/>
        <v>142030.62484301985</v>
      </c>
      <c r="AE134" s="1">
        <f t="shared" si="112"/>
        <v>36263.75462562051</v>
      </c>
      <c r="AF134" s="1">
        <f t="shared" si="113"/>
        <v>18131.877312810255</v>
      </c>
      <c r="AG134" s="1">
        <f t="shared" si="114"/>
        <v>84065.97663212028</v>
      </c>
      <c r="AH134"/>
      <c r="AI134"/>
      <c r="AJ134"/>
      <c r="AK134"/>
      <c r="AL134"/>
      <c r="AM134"/>
      <c r="AN134"/>
      <c r="AP134" t="s">
        <v>137</v>
      </c>
      <c r="AQ134" s="9" t="s">
        <v>226</v>
      </c>
      <c r="AR134" s="1">
        <v>682861</v>
      </c>
      <c r="AS134" s="1">
        <v>218921.52183616</v>
      </c>
      <c r="AT134" s="1">
        <v>109460.76091808</v>
      </c>
      <c r="AU134" s="1">
        <v>507499.89152928005</v>
      </c>
      <c r="AV134" s="1">
        <v>25175.975011158404</v>
      </c>
      <c r="AW134" s="1">
        <v>17513.721746892803</v>
      </c>
      <c r="AX134" s="1">
        <v>72244.10220593281</v>
      </c>
      <c r="AY134" s="1">
        <f t="shared" si="115"/>
        <v>4607.203427041988</v>
      </c>
      <c r="AZ134" s="1">
        <f t="shared" si="116"/>
        <v>2693.1868353116643</v>
      </c>
      <c r="BA134" s="1">
        <f t="shared" si="117"/>
        <v>6359.783610688761</v>
      </c>
      <c r="BB134" s="1">
        <f t="shared" si="118"/>
        <v>1460.2065506471874</v>
      </c>
      <c r="BC134" s="1">
        <f t="shared" si="119"/>
        <v>0</v>
      </c>
      <c r="BD134" s="1">
        <f t="shared" si="120"/>
        <v>3497.3407094550785</v>
      </c>
      <c r="BE134" s="1">
        <f t="shared" si="170"/>
        <v>7049.273003124354</v>
      </c>
      <c r="BF134" s="1">
        <f t="shared" si="171"/>
        <v>3623.326323605918</v>
      </c>
      <c r="BG134" s="1">
        <f t="shared" si="172"/>
        <v>13894.117089158102</v>
      </c>
      <c r="BH134" s="1">
        <f t="shared" si="173"/>
        <v>4279.915751896929</v>
      </c>
      <c r="BI134" s="1">
        <f t="shared" si="174"/>
        <v>1836.0838575637824</v>
      </c>
      <c r="BJ134" s="1">
        <f t="shared" si="175"/>
        <v>10395.915361357638</v>
      </c>
      <c r="BL134" s="2">
        <v>0.74</v>
      </c>
      <c r="BM134" s="2">
        <v>0</v>
      </c>
      <c r="BO134" s="1">
        <f t="shared" si="121"/>
        <v>4607.203427041988</v>
      </c>
      <c r="BP134" s="1">
        <f t="shared" si="122"/>
        <v>2693.1868353116643</v>
      </c>
      <c r="BQ134" s="1">
        <f t="shared" si="123"/>
        <v>6359.783610688761</v>
      </c>
      <c r="BR134" s="1">
        <f t="shared" si="124"/>
        <v>595.7642726640524</v>
      </c>
      <c r="BS134" s="1">
        <f t="shared" si="125"/>
        <v>0</v>
      </c>
      <c r="BT134" s="1">
        <f t="shared" si="126"/>
        <v>1426.915009457672</v>
      </c>
      <c r="BU134" s="1">
        <f t="shared" si="127"/>
        <v>7049.273003124354</v>
      </c>
      <c r="BV134" s="1">
        <f t="shared" si="128"/>
        <v>3623.326323605918</v>
      </c>
      <c r="BW134" s="1">
        <f t="shared" si="129"/>
        <v>13894.117089158102</v>
      </c>
      <c r="BX134" s="1">
        <f t="shared" si="130"/>
        <v>4279.915751896929</v>
      </c>
      <c r="BY134" s="1">
        <f t="shared" si="131"/>
        <v>1836.0838575637824</v>
      </c>
      <c r="BZ134" s="1">
        <f t="shared" si="132"/>
        <v>10395.915361357638</v>
      </c>
      <c r="CA134" s="1">
        <f t="shared" si="133"/>
        <v>24311.532733175267</v>
      </c>
      <c r="CB134" s="1">
        <f t="shared" si="134"/>
        <v>17513.721746892803</v>
      </c>
      <c r="CC134" s="1">
        <f t="shared" si="135"/>
        <v>70173.67650593541</v>
      </c>
      <c r="CD134" s="1">
        <f t="shared" si="149"/>
        <v>212441.44478980967</v>
      </c>
      <c r="CE134" s="1">
        <f t="shared" si="150"/>
        <v>106220.72239490483</v>
      </c>
      <c r="CF134" s="1">
        <f t="shared" si="151"/>
        <v>492477.89474001335</v>
      </c>
      <c r="CG134" t="s">
        <v>137</v>
      </c>
      <c r="CH134" s="9" t="s">
        <v>226</v>
      </c>
      <c r="CI134" s="1">
        <v>682861</v>
      </c>
      <c r="CJ134" s="102">
        <v>112.0355</v>
      </c>
      <c r="CK134" s="1">
        <v>1349.299</v>
      </c>
      <c r="CL134" s="1">
        <f t="shared" si="136"/>
        <v>1461.3345</v>
      </c>
      <c r="CM134" s="1">
        <v>92.8770130111524</v>
      </c>
      <c r="CN134" s="1">
        <v>983.472424342967</v>
      </c>
      <c r="CO134" s="1">
        <f t="shared" si="137"/>
        <v>1076.3494373541193</v>
      </c>
      <c r="CP134" s="1">
        <f t="shared" si="152"/>
        <v>354.76477455191775</v>
      </c>
      <c r="CQ134" s="1">
        <f t="shared" si="153"/>
        <v>187.82297681829382</v>
      </c>
      <c r="CR134" s="1">
        <f t="shared" si="154"/>
        <v>490.3848036585368</v>
      </c>
      <c r="CS134" s="1">
        <f t="shared" si="155"/>
        <v>106.8059187669151</v>
      </c>
      <c r="CT134" s="1">
        <f t="shared" si="156"/>
        <v>13.50377308400764</v>
      </c>
      <c r="CU134" s="1">
        <f t="shared" si="157"/>
        <v>201.48046330106854</v>
      </c>
    </row>
    <row r="135" spans="1:99" ht="12.75">
      <c r="A135" t="s">
        <v>138</v>
      </c>
      <c r="B135" s="1">
        <v>2828151</v>
      </c>
      <c r="C135" s="9" t="s">
        <v>132</v>
      </c>
      <c r="D135" s="122">
        <v>13</v>
      </c>
      <c r="E135" s="122">
        <v>11</v>
      </c>
      <c r="F135" s="107">
        <v>54.5</v>
      </c>
      <c r="G135" s="122">
        <v>0.8</v>
      </c>
      <c r="H135" s="107">
        <v>7</v>
      </c>
      <c r="I135" s="1">
        <f t="shared" si="158"/>
        <v>367659.63</v>
      </c>
      <c r="J135" s="1">
        <f t="shared" si="159"/>
        <v>311096.61</v>
      </c>
      <c r="K135" s="1">
        <f t="shared" si="160"/>
        <v>1541342.295</v>
      </c>
      <c r="L135" s="1">
        <f t="shared" si="161"/>
        <v>22625.208000000002</v>
      </c>
      <c r="M135" s="1">
        <f t="shared" si="162"/>
        <v>197970.57</v>
      </c>
      <c r="N135" s="12">
        <f t="shared" si="138"/>
        <v>-0.07112</v>
      </c>
      <c r="O135" s="12">
        <f t="shared" si="139"/>
        <v>0.008760000000000002</v>
      </c>
      <c r="P135" s="12">
        <f t="shared" si="140"/>
        <v>0.005790000000000029</v>
      </c>
      <c r="Q135" s="12">
        <f t="shared" si="141"/>
        <v>-0.41104000000000007</v>
      </c>
      <c r="R135" s="12">
        <f t="shared" si="142"/>
        <v>-0.055241999999999986</v>
      </c>
      <c r="S135" s="1">
        <f t="shared" si="100"/>
        <v>296878.25053656</v>
      </c>
      <c r="T135" s="2">
        <f t="shared" si="163"/>
        <v>0.10497256</v>
      </c>
      <c r="U135" s="1">
        <f t="shared" si="102"/>
        <v>34140.998811704405</v>
      </c>
      <c r="V135" s="1">
        <f t="shared" si="103"/>
        <v>20781.477537559203</v>
      </c>
      <c r="W135" s="1">
        <f t="shared" si="104"/>
        <v>10390.738768779602</v>
      </c>
      <c r="X135" s="1">
        <f t="shared" si="105"/>
        <v>48175.24338252361</v>
      </c>
      <c r="Y135" s="1">
        <f t="shared" si="106"/>
        <v>2945.0322453226745</v>
      </c>
      <c r="Z135" s="1">
        <f t="shared" si="107"/>
        <v>1472.5161226613372</v>
      </c>
      <c r="AA135" s="1">
        <f t="shared" si="108"/>
        <v>6827.120205066203</v>
      </c>
      <c r="AB135" s="1">
        <f t="shared" si="109"/>
        <v>82400.38720644554</v>
      </c>
      <c r="AC135" s="1">
        <f t="shared" si="110"/>
        <v>41200.19360322277</v>
      </c>
      <c r="AD135" s="1">
        <f t="shared" si="111"/>
        <v>191019.07943312376</v>
      </c>
      <c r="AE135" s="1">
        <f t="shared" si="112"/>
        <v>48771.65775360698</v>
      </c>
      <c r="AF135" s="1">
        <f t="shared" si="113"/>
        <v>24385.82887680349</v>
      </c>
      <c r="AG135" s="1">
        <f t="shared" si="114"/>
        <v>113061.570246998</v>
      </c>
      <c r="AH135"/>
      <c r="AI135"/>
      <c r="AJ135"/>
      <c r="AK135"/>
      <c r="AL135"/>
      <c r="AM135"/>
      <c r="AN135"/>
      <c r="AP135" t="s">
        <v>138</v>
      </c>
      <c r="AQ135" s="9" t="s">
        <v>226</v>
      </c>
      <c r="AR135" s="1">
        <v>2828151</v>
      </c>
      <c r="AS135" s="1">
        <v>296878.25053656</v>
      </c>
      <c r="AT135" s="1">
        <v>148439.12526828</v>
      </c>
      <c r="AU135" s="1">
        <v>688217.76260748</v>
      </c>
      <c r="AV135" s="1">
        <v>34140.998811704405</v>
      </c>
      <c r="AW135" s="1">
        <v>23750.2600429248</v>
      </c>
      <c r="AX135" s="1">
        <v>97969.82267706482</v>
      </c>
      <c r="AY135" s="1">
        <f t="shared" si="115"/>
        <v>6247.802782541906</v>
      </c>
      <c r="AZ135" s="1">
        <f t="shared" si="116"/>
        <v>3652.2155945626964</v>
      </c>
      <c r="BA135" s="1">
        <f t="shared" si="117"/>
        <v>8624.466961020848</v>
      </c>
      <c r="BB135" s="1">
        <f t="shared" si="118"/>
        <v>1980.1779310788556</v>
      </c>
      <c r="BC135" s="1">
        <f t="shared" si="119"/>
        <v>0</v>
      </c>
      <c r="BD135" s="1">
        <f t="shared" si="120"/>
        <v>4742.724162726967</v>
      </c>
      <c r="BE135" s="1">
        <f t="shared" si="170"/>
        <v>9559.479667277234</v>
      </c>
      <c r="BF135" s="1">
        <f t="shared" si="171"/>
        <v>4913.572548980498</v>
      </c>
      <c r="BG135" s="1">
        <f t="shared" si="172"/>
        <v>18841.734424203427</v>
      </c>
      <c r="BH135" s="1">
        <f t="shared" si="173"/>
        <v>5803.969797989749</v>
      </c>
      <c r="BI135" s="1">
        <f t="shared" si="174"/>
        <v>2489.9030433376024</v>
      </c>
      <c r="BJ135" s="1">
        <f t="shared" si="175"/>
        <v>14097.8426393171</v>
      </c>
      <c r="BL135" s="2">
        <v>0.94</v>
      </c>
      <c r="BM135" s="2">
        <v>0</v>
      </c>
      <c r="BO135" s="1">
        <f t="shared" si="121"/>
        <v>6247.802782541906</v>
      </c>
      <c r="BP135" s="1">
        <f t="shared" si="122"/>
        <v>3652.2155945626964</v>
      </c>
      <c r="BQ135" s="1">
        <f t="shared" si="123"/>
        <v>8624.466961020848</v>
      </c>
      <c r="BR135" s="1">
        <f t="shared" si="124"/>
        <v>491.0841269075561</v>
      </c>
      <c r="BS135" s="1">
        <f t="shared" si="125"/>
        <v>0</v>
      </c>
      <c r="BT135" s="1">
        <f t="shared" si="126"/>
        <v>1176.1955923562878</v>
      </c>
      <c r="BU135" s="1">
        <f t="shared" si="127"/>
        <v>9559.479667277234</v>
      </c>
      <c r="BV135" s="1">
        <f t="shared" si="128"/>
        <v>4913.572548980498</v>
      </c>
      <c r="BW135" s="1">
        <f t="shared" si="129"/>
        <v>18841.734424203427</v>
      </c>
      <c r="BX135" s="1">
        <f t="shared" si="130"/>
        <v>5803.969797989749</v>
      </c>
      <c r="BY135" s="1">
        <f t="shared" si="131"/>
        <v>2489.9030433376024</v>
      </c>
      <c r="BZ135" s="1">
        <f t="shared" si="132"/>
        <v>14097.8426393171</v>
      </c>
      <c r="CA135" s="1">
        <f t="shared" si="133"/>
        <v>32651.905007533107</v>
      </c>
      <c r="CB135" s="1">
        <f t="shared" si="134"/>
        <v>23750.2600429248</v>
      </c>
      <c r="CC135" s="1">
        <f t="shared" si="135"/>
        <v>94403.29410669414</v>
      </c>
      <c r="CD135" s="1">
        <f t="shared" si="149"/>
        <v>285715.6283163854</v>
      </c>
      <c r="CE135" s="1">
        <f t="shared" si="150"/>
        <v>142857.8141581927</v>
      </c>
      <c r="CF135" s="1">
        <f t="shared" si="151"/>
        <v>662340.7747334389</v>
      </c>
      <c r="CG135" t="s">
        <v>138</v>
      </c>
      <c r="CH135" s="9" t="s">
        <v>226</v>
      </c>
      <c r="CI135" s="1">
        <v>2828151</v>
      </c>
      <c r="CJ135" s="102">
        <v>55.03344</v>
      </c>
      <c r="CK135" s="1">
        <v>136.0944</v>
      </c>
      <c r="CL135" s="1">
        <f t="shared" si="136"/>
        <v>191.12784</v>
      </c>
      <c r="CM135" s="1">
        <v>57.4085674105263</v>
      </c>
      <c r="CN135" s="1">
        <v>141.530903273386</v>
      </c>
      <c r="CO135" s="1">
        <f t="shared" si="137"/>
        <v>198.9394706839123</v>
      </c>
      <c r="CP135" s="1">
        <f t="shared" si="152"/>
        <v>65.5704495374175</v>
      </c>
      <c r="CQ135" s="1">
        <f t="shared" si="153"/>
        <v>34.7149376343427</v>
      </c>
      <c r="CR135" s="1">
        <f t="shared" si="154"/>
        <v>90.63682284359045</v>
      </c>
      <c r="CS135" s="1">
        <f t="shared" si="155"/>
        <v>12.485101979985762</v>
      </c>
      <c r="CT135" s="1">
        <f t="shared" si="156"/>
        <v>1.5246013665081766</v>
      </c>
      <c r="CU135" s="1">
        <f t="shared" si="157"/>
        <v>24.42886400041964</v>
      </c>
    </row>
    <row r="136" spans="1:99" ht="12.75">
      <c r="A136" t="s">
        <v>139</v>
      </c>
      <c r="B136" s="1">
        <v>5400.292792826396</v>
      </c>
      <c r="C136" s="9" t="s">
        <v>132</v>
      </c>
      <c r="D136" s="122">
        <v>18</v>
      </c>
      <c r="E136" s="122">
        <v>18</v>
      </c>
      <c r="F136" s="122">
        <v>69</v>
      </c>
      <c r="G136" s="122">
        <v>31</v>
      </c>
      <c r="H136" s="107">
        <v>7</v>
      </c>
      <c r="I136" s="1">
        <f t="shared" si="158"/>
        <v>972.0527027087513</v>
      </c>
      <c r="J136" s="1">
        <f t="shared" si="159"/>
        <v>972.0527027087513</v>
      </c>
      <c r="K136" s="1">
        <f t="shared" si="160"/>
        <v>3726.2020270502135</v>
      </c>
      <c r="L136" s="1">
        <f t="shared" si="161"/>
        <v>1674.0907657761827</v>
      </c>
      <c r="M136" s="1">
        <f t="shared" si="162"/>
        <v>378.0204954978477</v>
      </c>
      <c r="N136" s="12">
        <f t="shared" si="138"/>
        <v>-0.031120000000000016</v>
      </c>
      <c r="O136" s="12">
        <f t="shared" si="139"/>
        <v>0.03676</v>
      </c>
      <c r="P136" s="12">
        <f t="shared" si="140"/>
        <v>0.04929</v>
      </c>
      <c r="Q136" s="12">
        <f t="shared" si="141"/>
        <v>-0.16944000000000004</v>
      </c>
      <c r="R136" s="12">
        <f t="shared" si="142"/>
        <v>-0.055241999999999986</v>
      </c>
      <c r="S136" s="1">
        <f t="shared" si="100"/>
        <v>986.3881039448763</v>
      </c>
      <c r="T136" s="2">
        <f t="shared" si="163"/>
        <v>0.18265455999999997</v>
      </c>
      <c r="U136" s="1">
        <f t="shared" si="102"/>
        <v>113.43463195366078</v>
      </c>
      <c r="V136" s="1">
        <f t="shared" si="103"/>
        <v>59.43580159130248</v>
      </c>
      <c r="W136" s="1">
        <f t="shared" si="104"/>
        <v>29.71790079565124</v>
      </c>
      <c r="X136" s="1">
        <f t="shared" si="105"/>
        <v>137.78299459801937</v>
      </c>
      <c r="Y136" s="1">
        <f t="shared" si="106"/>
        <v>10.41625837765789</v>
      </c>
      <c r="Z136" s="1">
        <f t="shared" si="107"/>
        <v>5.208129188828945</v>
      </c>
      <c r="AA136" s="1">
        <f t="shared" si="108"/>
        <v>24.146780784570566</v>
      </c>
      <c r="AB136" s="1">
        <f t="shared" si="109"/>
        <v>269.2265051337775</v>
      </c>
      <c r="AC136" s="1">
        <f t="shared" si="110"/>
        <v>134.61325256688875</v>
      </c>
      <c r="AD136" s="1">
        <f t="shared" si="111"/>
        <v>624.115989173757</v>
      </c>
      <c r="AE136" s="1">
        <f t="shared" si="112"/>
        <v>159.35147165858464</v>
      </c>
      <c r="AF136" s="1">
        <f t="shared" si="113"/>
        <v>79.67573582929232</v>
      </c>
      <c r="AG136" s="1">
        <f t="shared" si="114"/>
        <v>369.4056842994463</v>
      </c>
      <c r="AH136"/>
      <c r="AI136"/>
      <c r="AJ136"/>
      <c r="AK136"/>
      <c r="AL136"/>
      <c r="AM136"/>
      <c r="AN136"/>
      <c r="AP136" t="s">
        <v>139</v>
      </c>
      <c r="AQ136" s="9" t="s">
        <v>226</v>
      </c>
      <c r="AR136" s="1">
        <v>5400.292792826396</v>
      </c>
      <c r="AS136" s="1">
        <v>986.3881039448763</v>
      </c>
      <c r="AT136" s="1">
        <v>493.19405197243816</v>
      </c>
      <c r="AU136" s="1">
        <v>2286.6269682358497</v>
      </c>
      <c r="AV136" s="1">
        <v>113.43463195366078</v>
      </c>
      <c r="AW136" s="1">
        <v>78.91104831559011</v>
      </c>
      <c r="AX136" s="1">
        <v>325.5080743018092</v>
      </c>
      <c r="AY136" s="1">
        <f t="shared" si="115"/>
        <v>20.758537647519923</v>
      </c>
      <c r="AZ136" s="1">
        <f t="shared" si="116"/>
        <v>12.134610767234244</v>
      </c>
      <c r="BA136" s="1">
        <f t="shared" si="117"/>
        <v>28.655085368636502</v>
      </c>
      <c r="BB136" s="1">
        <f t="shared" si="118"/>
        <v>6.5792086533123255</v>
      </c>
      <c r="BC136" s="1">
        <f t="shared" si="119"/>
        <v>0</v>
      </c>
      <c r="BD136" s="1">
        <f t="shared" si="120"/>
        <v>15.75786264554835</v>
      </c>
      <c r="BE136" s="1">
        <f t="shared" si="170"/>
        <v>31.761696947025023</v>
      </c>
      <c r="BF136" s="1">
        <f t="shared" si="171"/>
        <v>16.325512230770862</v>
      </c>
      <c r="BG136" s="1">
        <f t="shared" si="172"/>
        <v>62.60230468258632</v>
      </c>
      <c r="BH136" s="1">
        <f t="shared" si="173"/>
        <v>19.283887432122334</v>
      </c>
      <c r="BI136" s="1">
        <f t="shared" si="174"/>
        <v>8.27278770838048</v>
      </c>
      <c r="BJ136" s="1">
        <f t="shared" si="175"/>
        <v>46.840562572625146</v>
      </c>
      <c r="BL136" s="2">
        <v>0.92</v>
      </c>
      <c r="BM136" s="2">
        <v>0.24</v>
      </c>
      <c r="BO136" s="1">
        <f t="shared" si="121"/>
        <v>17.86894920698515</v>
      </c>
      <c r="BP136" s="1">
        <f t="shared" si="122"/>
        <v>10.445472948435238</v>
      </c>
      <c r="BQ136" s="1">
        <f t="shared" si="123"/>
        <v>24.666297485322303</v>
      </c>
      <c r="BR136" s="1">
        <f t="shared" si="124"/>
        <v>1.7369110844744533</v>
      </c>
      <c r="BS136" s="1">
        <f t="shared" si="125"/>
        <v>0</v>
      </c>
      <c r="BT136" s="1">
        <f t="shared" si="126"/>
        <v>4.160075738424764</v>
      </c>
      <c r="BU136" s="1">
        <f t="shared" si="127"/>
        <v>31.761696947025023</v>
      </c>
      <c r="BV136" s="1">
        <f t="shared" si="128"/>
        <v>16.325512230770862</v>
      </c>
      <c r="BW136" s="1">
        <f t="shared" si="129"/>
        <v>62.60230468258632</v>
      </c>
      <c r="BX136" s="1">
        <f t="shared" si="130"/>
        <v>19.283887432122334</v>
      </c>
      <c r="BY136" s="1">
        <f t="shared" si="131"/>
        <v>8.27278770838048</v>
      </c>
      <c r="BZ136" s="1">
        <f t="shared" si="132"/>
        <v>46.840562572625146</v>
      </c>
      <c r="CA136" s="1">
        <f t="shared" si="133"/>
        <v>105.70274594428814</v>
      </c>
      <c r="CB136" s="1">
        <f t="shared" si="134"/>
        <v>77.2219104967911</v>
      </c>
      <c r="CC136" s="1">
        <f t="shared" si="135"/>
        <v>309.9214995113714</v>
      </c>
      <c r="CD136" s="1">
        <f t="shared" si="149"/>
        <v>933.5177015734309</v>
      </c>
      <c r="CE136" s="1">
        <f t="shared" si="150"/>
        <v>466.75885078671547</v>
      </c>
      <c r="CF136" s="1">
        <f t="shared" si="151"/>
        <v>2164.0637627384085</v>
      </c>
      <c r="CG136" t="s">
        <v>139</v>
      </c>
      <c r="CH136" s="9" t="s">
        <v>226</v>
      </c>
      <c r="CI136" s="1">
        <v>5400.292792826396</v>
      </c>
      <c r="CJ136" s="102">
        <v>1.849176</v>
      </c>
      <c r="CK136" s="1">
        <v>3.554533</v>
      </c>
      <c r="CL136" s="1">
        <f t="shared" si="136"/>
        <v>5.403709</v>
      </c>
      <c r="CM136" s="1">
        <v>1.849176</v>
      </c>
      <c r="CN136" s="1">
        <v>3.32904564185814</v>
      </c>
      <c r="CO136" s="1">
        <f t="shared" si="137"/>
        <v>5.17822164185814</v>
      </c>
      <c r="CP136" s="1">
        <f t="shared" si="152"/>
        <v>1.5398103801790002</v>
      </c>
      <c r="CQ136" s="1">
        <f t="shared" si="153"/>
        <v>0.797182482917924</v>
      </c>
      <c r="CR136" s="1">
        <f t="shared" si="154"/>
        <v>2.168310671017095</v>
      </c>
      <c r="CS136" s="1">
        <f t="shared" si="155"/>
        <v>0.34454753183728054</v>
      </c>
      <c r="CT136" s="1">
        <f t="shared" si="156"/>
        <v>0.042223434223376405</v>
      </c>
      <c r="CU136" s="1">
        <f t="shared" si="157"/>
        <v>0.671565143134027</v>
      </c>
    </row>
    <row r="137" spans="1:99" ht="12.75">
      <c r="A137" t="s">
        <v>140</v>
      </c>
      <c r="B137" s="1">
        <v>13237</v>
      </c>
      <c r="C137" s="9" t="s">
        <v>132</v>
      </c>
      <c r="D137" s="107">
        <v>12.5</v>
      </c>
      <c r="E137" s="122">
        <v>18</v>
      </c>
      <c r="F137" s="107">
        <v>54.5</v>
      </c>
      <c r="G137" s="122">
        <v>60</v>
      </c>
      <c r="H137" s="107">
        <v>7</v>
      </c>
      <c r="I137" s="1">
        <f t="shared" si="158"/>
        <v>1654.625</v>
      </c>
      <c r="J137" s="1">
        <f t="shared" si="159"/>
        <v>2382.66</v>
      </c>
      <c r="K137" s="1">
        <f t="shared" si="160"/>
        <v>7214.165</v>
      </c>
      <c r="L137" s="1">
        <f t="shared" si="161"/>
        <v>7942.2</v>
      </c>
      <c r="M137" s="1">
        <f t="shared" si="162"/>
        <v>926.59</v>
      </c>
      <c r="N137" s="12">
        <f t="shared" si="138"/>
        <v>-0.07512000000000002</v>
      </c>
      <c r="O137" s="12">
        <f t="shared" si="139"/>
        <v>0.03676</v>
      </c>
      <c r="P137" s="12">
        <f t="shared" si="140"/>
        <v>0.005790000000000029</v>
      </c>
      <c r="Q137" s="12">
        <f t="shared" si="141"/>
        <v>0.06255999999999995</v>
      </c>
      <c r="R137" s="12">
        <f t="shared" si="142"/>
        <v>-0.055241999999999986</v>
      </c>
      <c r="S137" s="1">
        <f t="shared" si="100"/>
        <v>2838.6026407199997</v>
      </c>
      <c r="T137" s="2">
        <f t="shared" si="163"/>
        <v>0.21444455999999998</v>
      </c>
      <c r="U137" s="1">
        <f t="shared" si="102"/>
        <v>326.43930368279996</v>
      </c>
      <c r="V137" s="1">
        <f t="shared" si="103"/>
        <v>118.0290978011376</v>
      </c>
      <c r="W137" s="1">
        <f t="shared" si="104"/>
        <v>59.0145489005688</v>
      </c>
      <c r="X137" s="1">
        <f t="shared" si="105"/>
        <v>273.61290853900084</v>
      </c>
      <c r="Y137" s="1">
        <f t="shared" si="106"/>
        <v>49.959406476672</v>
      </c>
      <c r="Z137" s="1">
        <f t="shared" si="107"/>
        <v>24.979703238336</v>
      </c>
      <c r="AA137" s="1">
        <f t="shared" si="108"/>
        <v>115.814987741376</v>
      </c>
      <c r="AB137" s="1">
        <f t="shared" si="109"/>
        <v>755.616720461707</v>
      </c>
      <c r="AC137" s="1">
        <f t="shared" si="110"/>
        <v>377.8083602308535</v>
      </c>
      <c r="AD137" s="1">
        <f t="shared" si="111"/>
        <v>1751.6569428885027</v>
      </c>
      <c r="AE137" s="1">
        <f t="shared" si="112"/>
        <v>447.2391615215443</v>
      </c>
      <c r="AF137" s="1">
        <f t="shared" si="113"/>
        <v>223.61958076077215</v>
      </c>
      <c r="AG137" s="1">
        <f t="shared" si="114"/>
        <v>1036.7816926181256</v>
      </c>
      <c r="AH137"/>
      <c r="AI137"/>
      <c r="AJ137"/>
      <c r="AK137"/>
      <c r="AL137"/>
      <c r="AM137"/>
      <c r="AN137"/>
      <c r="AP137" t="s">
        <v>140</v>
      </c>
      <c r="AQ137" s="9" t="s">
        <v>226</v>
      </c>
      <c r="AR137" s="1">
        <v>13237</v>
      </c>
      <c r="AS137" s="1">
        <v>2838.6026407199997</v>
      </c>
      <c r="AT137" s="1">
        <v>1419.3013203599999</v>
      </c>
      <c r="AU137" s="1">
        <v>6580.39703076</v>
      </c>
      <c r="AV137" s="1">
        <v>326.43930368279996</v>
      </c>
      <c r="AW137" s="1">
        <v>227.0882112576</v>
      </c>
      <c r="AX137" s="1">
        <v>936.7388714376</v>
      </c>
      <c r="AY137" s="1">
        <f t="shared" si="115"/>
        <v>59.73839257395239</v>
      </c>
      <c r="AZ137" s="1">
        <f t="shared" si="116"/>
        <v>34.92067476302961</v>
      </c>
      <c r="BA137" s="1">
        <f t="shared" si="117"/>
        <v>82.46287710908388</v>
      </c>
      <c r="BB137" s="1">
        <f t="shared" si="118"/>
        <v>18.933479613602398</v>
      </c>
      <c r="BC137" s="1">
        <f t="shared" si="119"/>
        <v>0</v>
      </c>
      <c r="BD137" s="1">
        <f t="shared" si="120"/>
        <v>45.3475770225391</v>
      </c>
      <c r="BE137" s="1">
        <f t="shared" si="170"/>
        <v>91.403005031184</v>
      </c>
      <c r="BF137" s="1">
        <f t="shared" si="171"/>
        <v>46.98114458602858</v>
      </c>
      <c r="BG137" s="1">
        <f t="shared" si="172"/>
        <v>180.15532291646366</v>
      </c>
      <c r="BH137" s="1">
        <f t="shared" si="173"/>
        <v>55.494681626075995</v>
      </c>
      <c r="BI137" s="1">
        <f t="shared" si="174"/>
        <v>23.8072184175866</v>
      </c>
      <c r="BJ137" s="1">
        <f t="shared" si="175"/>
        <v>134.79658166973857</v>
      </c>
      <c r="BL137" s="2">
        <v>0.7</v>
      </c>
      <c r="BM137" s="2">
        <v>0.7</v>
      </c>
      <c r="BO137" s="1">
        <f t="shared" si="121"/>
        <v>35.484605188927716</v>
      </c>
      <c r="BP137" s="1">
        <f t="shared" si="122"/>
        <v>20.74288080923959</v>
      </c>
      <c r="BQ137" s="1">
        <f t="shared" si="123"/>
        <v>48.98294900279583</v>
      </c>
      <c r="BR137" s="1">
        <f t="shared" si="124"/>
        <v>8.330731029985055</v>
      </c>
      <c r="BS137" s="1">
        <f t="shared" si="125"/>
        <v>0</v>
      </c>
      <c r="BT137" s="1">
        <f t="shared" si="126"/>
        <v>19.952933889917205</v>
      </c>
      <c r="BU137" s="1">
        <f t="shared" si="127"/>
        <v>91.403005031184</v>
      </c>
      <c r="BV137" s="1">
        <f t="shared" si="128"/>
        <v>46.98114458602858</v>
      </c>
      <c r="BW137" s="1">
        <f t="shared" si="129"/>
        <v>180.15532291646366</v>
      </c>
      <c r="BX137" s="1">
        <f t="shared" si="130"/>
        <v>55.494681626075995</v>
      </c>
      <c r="BY137" s="1">
        <f t="shared" si="131"/>
        <v>23.8072184175866</v>
      </c>
      <c r="BZ137" s="1">
        <f t="shared" si="132"/>
        <v>134.79658166973857</v>
      </c>
      <c r="CA137" s="1">
        <f t="shared" si="133"/>
        <v>291.5827677141579</v>
      </c>
      <c r="CB137" s="1">
        <f t="shared" si="134"/>
        <v>212.91041730380996</v>
      </c>
      <c r="CC137" s="1">
        <f t="shared" si="135"/>
        <v>877.86430019869</v>
      </c>
      <c r="CD137" s="1">
        <f t="shared" si="149"/>
        <v>2620.0302373845598</v>
      </c>
      <c r="CE137" s="1">
        <f t="shared" si="150"/>
        <v>1310.0151186922799</v>
      </c>
      <c r="CF137" s="1">
        <f t="shared" si="151"/>
        <v>6073.70645939148</v>
      </c>
      <c r="CG137" t="s">
        <v>140</v>
      </c>
      <c r="CH137" s="9" t="s">
        <v>226</v>
      </c>
      <c r="CI137" s="1">
        <v>13237</v>
      </c>
      <c r="CJ137" s="102">
        <v>7.717536</v>
      </c>
      <c r="CK137" s="1">
        <v>15.88283</v>
      </c>
      <c r="CL137" s="1">
        <f t="shared" si="136"/>
        <v>23.600366</v>
      </c>
      <c r="CM137" s="1">
        <v>7.556754</v>
      </c>
      <c r="CN137" s="1">
        <v>15.6290331629656</v>
      </c>
      <c r="CO137" s="1">
        <f t="shared" si="137"/>
        <v>23.1857871629656</v>
      </c>
      <c r="CP137" s="1">
        <f t="shared" si="152"/>
        <v>5.240661847498398</v>
      </c>
      <c r="CQ137" s="1">
        <f t="shared" si="153"/>
        <v>2.586523852156613</v>
      </c>
      <c r="CR137" s="1">
        <f t="shared" si="154"/>
        <v>7.698751980401609</v>
      </c>
      <c r="CS137" s="1">
        <f t="shared" si="155"/>
        <v>2.462008112175637</v>
      </c>
      <c r="CT137" s="1">
        <f t="shared" si="156"/>
        <v>0.3133928395235085</v>
      </c>
      <c r="CU137" s="1">
        <f t="shared" si="157"/>
        <v>4.612796363308965</v>
      </c>
    </row>
    <row r="138" spans="1:99" ht="12.75">
      <c r="A138" t="s">
        <v>141</v>
      </c>
      <c r="B138" s="1">
        <v>296799</v>
      </c>
      <c r="C138" s="9" t="s">
        <v>132</v>
      </c>
      <c r="D138" s="122">
        <v>5</v>
      </c>
      <c r="E138" s="122">
        <v>4</v>
      </c>
      <c r="F138" s="122">
        <v>43</v>
      </c>
      <c r="G138" s="122">
        <v>77</v>
      </c>
      <c r="H138" s="107">
        <v>7</v>
      </c>
      <c r="I138" s="1">
        <f t="shared" si="158"/>
        <v>14839.95</v>
      </c>
      <c r="J138" s="1">
        <f t="shared" si="159"/>
        <v>11871.96</v>
      </c>
      <c r="K138" s="1">
        <f t="shared" si="160"/>
        <v>127623.57</v>
      </c>
      <c r="L138" s="1">
        <f t="shared" si="161"/>
        <v>228535.23</v>
      </c>
      <c r="M138" s="1">
        <f t="shared" si="162"/>
        <v>20775.93</v>
      </c>
      <c r="N138" s="12">
        <f t="shared" si="138"/>
        <v>-0.13512</v>
      </c>
      <c r="O138" s="12">
        <f t="shared" si="139"/>
        <v>-0.01924</v>
      </c>
      <c r="P138" s="12">
        <f t="shared" si="140"/>
        <v>-0.028709999999999986</v>
      </c>
      <c r="Q138" s="12">
        <f t="shared" si="141"/>
        <v>0.19856</v>
      </c>
      <c r="R138" s="12">
        <f t="shared" si="142"/>
        <v>-0.055241999999999986</v>
      </c>
      <c r="S138" s="1">
        <f t="shared" si="100"/>
        <v>62700.14215344</v>
      </c>
      <c r="T138" s="2">
        <f t="shared" si="163"/>
        <v>0.21125456</v>
      </c>
      <c r="U138" s="1">
        <f t="shared" si="102"/>
        <v>7210.5163476456</v>
      </c>
      <c r="V138" s="1">
        <f t="shared" si="103"/>
        <v>4389.0099507408</v>
      </c>
      <c r="W138" s="1">
        <f t="shared" si="104"/>
        <v>2194.5049753704</v>
      </c>
      <c r="X138" s="1">
        <f t="shared" si="105"/>
        <v>10174.523067626402</v>
      </c>
      <c r="Y138" s="1">
        <f t="shared" si="106"/>
        <v>581.8573191839234</v>
      </c>
      <c r="Z138" s="1">
        <f t="shared" si="107"/>
        <v>290.9286595919617</v>
      </c>
      <c r="AA138" s="1">
        <f t="shared" si="108"/>
        <v>1348.8510581081855</v>
      </c>
      <c r="AB138" s="1">
        <f t="shared" si="109"/>
        <v>17388.344510765295</v>
      </c>
      <c r="AC138" s="1">
        <f t="shared" si="110"/>
        <v>8694.172255382648</v>
      </c>
      <c r="AD138" s="1">
        <f t="shared" si="111"/>
        <v>40309.34409313773</v>
      </c>
      <c r="AE138" s="1">
        <f t="shared" si="112"/>
        <v>10291.922357793466</v>
      </c>
      <c r="AF138" s="1">
        <f t="shared" si="113"/>
        <v>5145.961178896733</v>
      </c>
      <c r="AG138" s="1">
        <f t="shared" si="114"/>
        <v>23858.547283975764</v>
      </c>
      <c r="AH138"/>
      <c r="AI138"/>
      <c r="AJ138"/>
      <c r="AK138"/>
      <c r="AL138"/>
      <c r="AM138"/>
      <c r="AN138"/>
      <c r="AP138" t="s">
        <v>141</v>
      </c>
      <c r="AQ138" s="9" t="s">
        <v>226</v>
      </c>
      <c r="AR138" s="1">
        <v>296799</v>
      </c>
      <c r="AS138" s="1">
        <v>62700.14215344</v>
      </c>
      <c r="AT138" s="1">
        <v>31350.07107672</v>
      </c>
      <c r="AU138" s="1">
        <v>145350.32953752</v>
      </c>
      <c r="AV138" s="1">
        <v>7210.5163476456</v>
      </c>
      <c r="AW138" s="1">
        <v>5016.0113722752</v>
      </c>
      <c r="AX138" s="1">
        <v>20691.0469106352</v>
      </c>
      <c r="AY138" s="1">
        <f t="shared" si="115"/>
        <v>1319.5244916191448</v>
      </c>
      <c r="AZ138" s="1">
        <f t="shared" si="116"/>
        <v>771.3412368208873</v>
      </c>
      <c r="BA138" s="1">
        <f t="shared" si="117"/>
        <v>1821.4716082310676</v>
      </c>
      <c r="BB138" s="1">
        <f t="shared" si="118"/>
        <v>418.20994816344484</v>
      </c>
      <c r="BC138" s="1">
        <f t="shared" si="119"/>
        <v>0</v>
      </c>
      <c r="BD138" s="1">
        <f t="shared" si="120"/>
        <v>1001.6546468462666</v>
      </c>
      <c r="BE138" s="1">
        <f t="shared" si="170"/>
        <v>2018.944577340768</v>
      </c>
      <c r="BF138" s="1">
        <f t="shared" si="171"/>
        <v>1037.7375127531548</v>
      </c>
      <c r="BG138" s="1">
        <f t="shared" si="172"/>
        <v>3979.339761938654</v>
      </c>
      <c r="BH138" s="1">
        <f t="shared" si="173"/>
        <v>1225.787779099752</v>
      </c>
      <c r="BI138" s="1">
        <f t="shared" si="174"/>
        <v>525.8629572337936</v>
      </c>
      <c r="BJ138" s="1">
        <f t="shared" si="175"/>
        <v>2977.4385154332977</v>
      </c>
      <c r="BL138" s="2">
        <v>0.96</v>
      </c>
      <c r="BM138" s="2">
        <v>0</v>
      </c>
      <c r="BO138" s="1">
        <f t="shared" si="121"/>
        <v>1319.5244916191448</v>
      </c>
      <c r="BP138" s="1">
        <f t="shared" si="122"/>
        <v>771.3412368208873</v>
      </c>
      <c r="BQ138" s="1">
        <f t="shared" si="123"/>
        <v>1821.4716082310676</v>
      </c>
      <c r="BR138" s="1">
        <f t="shared" si="124"/>
        <v>97.02470797391919</v>
      </c>
      <c r="BS138" s="1">
        <f t="shared" si="125"/>
        <v>0</v>
      </c>
      <c r="BT138" s="1">
        <f t="shared" si="126"/>
        <v>232.38387806833384</v>
      </c>
      <c r="BU138" s="1">
        <f t="shared" si="127"/>
        <v>2018.944577340768</v>
      </c>
      <c r="BV138" s="1">
        <f t="shared" si="128"/>
        <v>1037.7375127531548</v>
      </c>
      <c r="BW138" s="1">
        <f t="shared" si="129"/>
        <v>3979.339761938654</v>
      </c>
      <c r="BX138" s="1">
        <f t="shared" si="130"/>
        <v>1225.787779099752</v>
      </c>
      <c r="BY138" s="1">
        <f t="shared" si="131"/>
        <v>525.8629572337936</v>
      </c>
      <c r="BZ138" s="1">
        <f t="shared" si="132"/>
        <v>2977.4385154332977</v>
      </c>
      <c r="CA138" s="1">
        <f t="shared" si="133"/>
        <v>6889.331107456074</v>
      </c>
      <c r="CB138" s="1">
        <f t="shared" si="134"/>
        <v>5016.0113722752</v>
      </c>
      <c r="CC138" s="1">
        <f t="shared" si="135"/>
        <v>19921.776141857266</v>
      </c>
      <c r="CD138" s="1">
        <f t="shared" si="149"/>
        <v>60292.4566947479</v>
      </c>
      <c r="CE138" s="1">
        <f t="shared" si="150"/>
        <v>30146.22834737395</v>
      </c>
      <c r="CF138" s="1">
        <f t="shared" si="151"/>
        <v>139768.87688327924</v>
      </c>
      <c r="CG138" t="s">
        <v>141</v>
      </c>
      <c r="CH138" s="9" t="s">
        <v>226</v>
      </c>
      <c r="CI138" s="1">
        <v>296799</v>
      </c>
      <c r="CJ138" s="102">
        <v>49.79417</v>
      </c>
      <c r="CK138" s="1">
        <v>295.7762</v>
      </c>
      <c r="CL138" s="1">
        <f t="shared" si="136"/>
        <v>345.57037</v>
      </c>
      <c r="CM138" s="1">
        <v>50.2534047694335</v>
      </c>
      <c r="CN138" s="1">
        <v>281.847540331065</v>
      </c>
      <c r="CO138" s="1">
        <f t="shared" si="137"/>
        <v>332.1009451004985</v>
      </c>
      <c r="CP138" s="1">
        <f t="shared" si="152"/>
        <v>109.4604715051243</v>
      </c>
      <c r="CQ138" s="1">
        <f t="shared" si="153"/>
        <v>57.95161492003699</v>
      </c>
      <c r="CR138" s="1">
        <f t="shared" si="154"/>
        <v>151.3051905877871</v>
      </c>
      <c r="CS138" s="1">
        <f t="shared" si="155"/>
        <v>19.576702708112922</v>
      </c>
      <c r="CT138" s="1">
        <f t="shared" si="156"/>
        <v>2.38208109790449</v>
      </c>
      <c r="CU138" s="1">
        <f t="shared" si="157"/>
        <v>38.45413408085964</v>
      </c>
    </row>
    <row r="139" spans="1:99" ht="12.75">
      <c r="A139" t="s">
        <v>142</v>
      </c>
      <c r="B139" s="1">
        <v>1024.8344237468948</v>
      </c>
      <c r="C139" s="9" t="s">
        <v>132</v>
      </c>
      <c r="D139" s="122">
        <v>5</v>
      </c>
      <c r="E139" s="122">
        <v>27</v>
      </c>
      <c r="F139" s="122">
        <v>33</v>
      </c>
      <c r="G139" s="122">
        <v>5</v>
      </c>
      <c r="H139" s="107">
        <v>7</v>
      </c>
      <c r="I139" s="1">
        <f t="shared" si="158"/>
        <v>51.24172118734474</v>
      </c>
      <c r="J139" s="1">
        <f t="shared" si="159"/>
        <v>276.7052944116616</v>
      </c>
      <c r="K139" s="1">
        <f t="shared" si="160"/>
        <v>338.19535983647523</v>
      </c>
      <c r="L139" s="1">
        <f t="shared" si="161"/>
        <v>51.24172118734474</v>
      </c>
      <c r="M139" s="1">
        <f t="shared" si="162"/>
        <v>71.73840966228263</v>
      </c>
      <c r="N139" s="12">
        <f t="shared" si="138"/>
        <v>-0.13512</v>
      </c>
      <c r="O139" s="12">
        <f t="shared" si="139"/>
        <v>0.07276</v>
      </c>
      <c r="P139" s="12">
        <f t="shared" si="140"/>
        <v>-0.05870999999999998</v>
      </c>
      <c r="Q139" s="12">
        <f t="shared" si="141"/>
        <v>-0.37744000000000005</v>
      </c>
      <c r="R139" s="12">
        <f t="shared" si="142"/>
        <v>-0.055241999999999986</v>
      </c>
      <c r="S139" s="1">
        <f t="shared" si="100"/>
        <v>100.61266862420494</v>
      </c>
      <c r="T139" s="2">
        <f t="shared" si="163"/>
        <v>0.09817456</v>
      </c>
      <c r="U139" s="1">
        <f t="shared" si="102"/>
        <v>11.57045689178357</v>
      </c>
      <c r="V139" s="1">
        <f t="shared" si="103"/>
        <v>7.042886803694347</v>
      </c>
      <c r="W139" s="1">
        <f t="shared" si="104"/>
        <v>3.5214434018471734</v>
      </c>
      <c r="X139" s="1">
        <f t="shared" si="105"/>
        <v>16.326692135836893</v>
      </c>
      <c r="Y139" s="1">
        <f t="shared" si="106"/>
        <v>0.8370974029533849</v>
      </c>
      <c r="Z139" s="1">
        <f t="shared" si="107"/>
        <v>0.41854870147669243</v>
      </c>
      <c r="AA139" s="1">
        <f t="shared" si="108"/>
        <v>1.9405439795737562</v>
      </c>
      <c r="AB139" s="1">
        <f t="shared" si="109"/>
        <v>27.867632563424365</v>
      </c>
      <c r="AC139" s="1">
        <f t="shared" si="110"/>
        <v>13.933816281712183</v>
      </c>
      <c r="AD139" s="1">
        <f t="shared" si="111"/>
        <v>64.60223912430193</v>
      </c>
      <c r="AE139" s="1">
        <f t="shared" si="112"/>
        <v>16.494469065799372</v>
      </c>
      <c r="AF139" s="1">
        <f t="shared" si="113"/>
        <v>8.247234532899686</v>
      </c>
      <c r="AG139" s="1">
        <f t="shared" si="114"/>
        <v>38.23717828889855</v>
      </c>
      <c r="AH139"/>
      <c r="AI139"/>
      <c r="AJ139"/>
      <c r="AK139"/>
      <c r="AL139"/>
      <c r="AM139"/>
      <c r="AN139"/>
      <c r="AP139" t="s">
        <v>142</v>
      </c>
      <c r="AQ139" s="9" t="s">
        <v>226</v>
      </c>
      <c r="AR139" s="1">
        <v>1024.8344237468948</v>
      </c>
      <c r="AS139" s="1">
        <v>100.61266862420494</v>
      </c>
      <c r="AT139" s="1">
        <v>50.30633431210247</v>
      </c>
      <c r="AU139" s="1">
        <v>233.23845908338419</v>
      </c>
      <c r="AV139" s="1">
        <v>11.57045689178357</v>
      </c>
      <c r="AW139" s="1">
        <v>8.049013489936396</v>
      </c>
      <c r="AX139" s="1">
        <v>33.20218064598763</v>
      </c>
      <c r="AY139" s="1">
        <f t="shared" si="115"/>
        <v>2.1173936111963934</v>
      </c>
      <c r="AZ139" s="1">
        <f t="shared" si="116"/>
        <v>1.2377436093609637</v>
      </c>
      <c r="BA139" s="1">
        <f t="shared" si="117"/>
        <v>2.9228501408955014</v>
      </c>
      <c r="BB139" s="1">
        <f t="shared" si="118"/>
        <v>0.671086499723447</v>
      </c>
      <c r="BC139" s="1">
        <f t="shared" si="119"/>
        <v>0</v>
      </c>
      <c r="BD139" s="1">
        <f t="shared" si="120"/>
        <v>1.6073192754876278</v>
      </c>
      <c r="BE139" s="1">
        <f t="shared" si="170"/>
        <v>3.2397279296994</v>
      </c>
      <c r="BF139" s="1">
        <f t="shared" si="171"/>
        <v>1.6652201558654915</v>
      </c>
      <c r="BG139" s="1">
        <f t="shared" si="172"/>
        <v>6.385503749437517</v>
      </c>
      <c r="BH139" s="1">
        <f t="shared" si="173"/>
        <v>1.966977671603207</v>
      </c>
      <c r="BI139" s="1">
        <f t="shared" si="174"/>
        <v>0.8438334211177758</v>
      </c>
      <c r="BJ139" s="1">
        <f t="shared" si="175"/>
        <v>4.77778876432419</v>
      </c>
      <c r="BL139" s="2">
        <v>0.99</v>
      </c>
      <c r="BM139" s="2">
        <v>0</v>
      </c>
      <c r="BO139" s="1">
        <f t="shared" si="121"/>
        <v>2.1173936111963934</v>
      </c>
      <c r="BP139" s="1">
        <f t="shared" si="122"/>
        <v>1.2377436093609637</v>
      </c>
      <c r="BQ139" s="1">
        <f t="shared" si="123"/>
        <v>2.9228501408955014</v>
      </c>
      <c r="BR139" s="1">
        <f t="shared" si="124"/>
        <v>0.139585991942477</v>
      </c>
      <c r="BS139" s="1">
        <f t="shared" si="125"/>
        <v>0</v>
      </c>
      <c r="BT139" s="1">
        <f t="shared" si="126"/>
        <v>0.33432240930142654</v>
      </c>
      <c r="BU139" s="1">
        <f t="shared" si="127"/>
        <v>3.2397279296994</v>
      </c>
      <c r="BV139" s="1">
        <f t="shared" si="128"/>
        <v>1.6652201558654915</v>
      </c>
      <c r="BW139" s="1">
        <f t="shared" si="129"/>
        <v>6.385503749437517</v>
      </c>
      <c r="BX139" s="1">
        <f t="shared" si="130"/>
        <v>1.966977671603207</v>
      </c>
      <c r="BY139" s="1">
        <f t="shared" si="131"/>
        <v>0.8438334211177758</v>
      </c>
      <c r="BZ139" s="1">
        <f t="shared" si="132"/>
        <v>4.77778876432419</v>
      </c>
      <c r="CA139" s="1">
        <f t="shared" si="133"/>
        <v>11.0389563840026</v>
      </c>
      <c r="CB139" s="1">
        <f t="shared" si="134"/>
        <v>8.049013489936396</v>
      </c>
      <c r="CC139" s="1">
        <f t="shared" si="135"/>
        <v>31.92918377980143</v>
      </c>
      <c r="CD139" s="1">
        <f t="shared" si="149"/>
        <v>96.62840694668643</v>
      </c>
      <c r="CE139" s="1">
        <f t="shared" si="150"/>
        <v>48.31420347334321</v>
      </c>
      <c r="CF139" s="1">
        <f t="shared" si="151"/>
        <v>224.00221610368217</v>
      </c>
      <c r="CG139" t="s">
        <v>142</v>
      </c>
      <c r="CH139" s="9" t="s">
        <v>226</v>
      </c>
      <c r="CI139" s="1">
        <v>1024.8344237468948</v>
      </c>
      <c r="CJ139" s="102">
        <v>0.8083814</v>
      </c>
      <c r="CK139" s="1">
        <v>0.7382716</v>
      </c>
      <c r="CL139" s="1">
        <f t="shared" si="136"/>
        <v>1.546653</v>
      </c>
      <c r="CM139" s="1">
        <v>0.8083814</v>
      </c>
      <c r="CN139" s="1">
        <v>0.555927409778094</v>
      </c>
      <c r="CO139" s="1">
        <f t="shared" si="137"/>
        <v>1.364308809778094</v>
      </c>
      <c r="CP139" s="1">
        <f t="shared" si="152"/>
        <v>0.4496761837028598</v>
      </c>
      <c r="CQ139" s="1">
        <f t="shared" si="153"/>
        <v>0.23807188730627737</v>
      </c>
      <c r="CR139" s="1">
        <f t="shared" si="154"/>
        <v>0.6215790937348996</v>
      </c>
      <c r="CS139" s="1">
        <f t="shared" si="155"/>
        <v>0.07254607750964756</v>
      </c>
      <c r="CT139" s="1">
        <f t="shared" si="156"/>
        <v>0.008780046893110242</v>
      </c>
      <c r="CU139" s="1">
        <f t="shared" si="157"/>
        <v>0.1433489404526656</v>
      </c>
    </row>
    <row r="140" spans="1:99" ht="12.75">
      <c r="A140" t="s">
        <v>143</v>
      </c>
      <c r="B140" s="1">
        <v>151.66992909678314</v>
      </c>
      <c r="C140" s="9" t="s">
        <v>132</v>
      </c>
      <c r="D140" s="107">
        <v>12.5</v>
      </c>
      <c r="E140" s="107">
        <v>10</v>
      </c>
      <c r="F140" s="107">
        <v>54.5</v>
      </c>
      <c r="G140" s="122">
        <v>5</v>
      </c>
      <c r="H140" s="107">
        <v>7</v>
      </c>
      <c r="I140" s="1">
        <f t="shared" si="158"/>
        <v>18.958741137097892</v>
      </c>
      <c r="J140" s="1">
        <f t="shared" si="159"/>
        <v>15.166992909678314</v>
      </c>
      <c r="K140" s="1">
        <f t="shared" si="160"/>
        <v>82.66011135774681</v>
      </c>
      <c r="L140" s="1">
        <f t="shared" si="161"/>
        <v>7.583496454839157</v>
      </c>
      <c r="M140" s="1">
        <f t="shared" si="162"/>
        <v>10.61689503677482</v>
      </c>
      <c r="N140" s="12">
        <f t="shared" si="138"/>
        <v>-0.07512000000000002</v>
      </c>
      <c r="O140" s="12">
        <f t="shared" si="139"/>
        <v>0.004760000000000004</v>
      </c>
      <c r="P140" s="12">
        <f t="shared" si="140"/>
        <v>0.005790000000000029</v>
      </c>
      <c r="Q140" s="12">
        <f t="shared" si="141"/>
        <v>-0.37744000000000005</v>
      </c>
      <c r="R140" s="12">
        <f t="shared" si="142"/>
        <v>-0.055241999999999986</v>
      </c>
      <c r="S140" s="1">
        <f t="shared" si="100"/>
        <v>16.775385772980894</v>
      </c>
      <c r="T140" s="2">
        <f t="shared" si="163"/>
        <v>0.11060455999999998</v>
      </c>
      <c r="U140" s="1">
        <f t="shared" si="102"/>
        <v>1.929169363892803</v>
      </c>
      <c r="V140" s="1">
        <f t="shared" si="103"/>
        <v>0.5000071483494686</v>
      </c>
      <c r="W140" s="1">
        <f t="shared" si="104"/>
        <v>0.2500035741747343</v>
      </c>
      <c r="X140" s="1">
        <f t="shared" si="105"/>
        <v>1.1591074802646772</v>
      </c>
      <c r="Y140" s="1">
        <f t="shared" si="106"/>
        <v>0.13957120963120107</v>
      </c>
      <c r="Z140" s="1">
        <f t="shared" si="107"/>
        <v>0.06978560481560053</v>
      </c>
      <c r="AA140" s="1">
        <f t="shared" si="108"/>
        <v>0.32355144050869344</v>
      </c>
      <c r="AB140" s="1">
        <f t="shared" si="109"/>
        <v>4.311160742048264</v>
      </c>
      <c r="AC140" s="1">
        <f t="shared" si="110"/>
        <v>2.155580371024132</v>
      </c>
      <c r="AD140" s="1">
        <f t="shared" si="111"/>
        <v>9.994054447475524</v>
      </c>
      <c r="AE140" s="1">
        <f t="shared" si="112"/>
        <v>2.551716846975169</v>
      </c>
      <c r="AF140" s="1">
        <f t="shared" si="113"/>
        <v>1.2758584234875845</v>
      </c>
      <c r="AG140" s="1">
        <f t="shared" si="114"/>
        <v>5.915343599806074</v>
      </c>
      <c r="AH140"/>
      <c r="AI140"/>
      <c r="AJ140"/>
      <c r="AK140"/>
      <c r="AL140"/>
      <c r="AM140"/>
      <c r="AN140"/>
      <c r="AP140" t="s">
        <v>143</v>
      </c>
      <c r="AQ140" s="9" t="s">
        <v>226</v>
      </c>
      <c r="AR140" s="1">
        <v>151.66992909678314</v>
      </c>
      <c r="AS140" s="1">
        <v>16.775385772980894</v>
      </c>
      <c r="AT140" s="1">
        <v>8.387692886490447</v>
      </c>
      <c r="AU140" s="1">
        <v>38.88839429191026</v>
      </c>
      <c r="AV140" s="1">
        <v>1.929169363892803</v>
      </c>
      <c r="AW140" s="1">
        <v>1.3420308618384715</v>
      </c>
      <c r="AX140" s="1">
        <v>5.535877305083695</v>
      </c>
      <c r="AY140" s="1">
        <f t="shared" si="115"/>
        <v>0.3530379935923829</v>
      </c>
      <c r="AZ140" s="1">
        <f t="shared" si="116"/>
        <v>0.20637188953436333</v>
      </c>
      <c r="BA140" s="1">
        <f t="shared" si="117"/>
        <v>0.4873336463549254</v>
      </c>
      <c r="BB140" s="1">
        <f t="shared" si="118"/>
        <v>0.11189182310578258</v>
      </c>
      <c r="BC140" s="1">
        <f t="shared" si="119"/>
        <v>0</v>
      </c>
      <c r="BD140" s="1">
        <f t="shared" si="120"/>
        <v>0.26799210552065983</v>
      </c>
      <c r="BE140" s="1">
        <f t="shared" si="170"/>
        <v>0.5401674218899849</v>
      </c>
      <c r="BF140" s="1">
        <f t="shared" si="171"/>
        <v>0.2776460548514523</v>
      </c>
      <c r="BG140" s="1">
        <f t="shared" si="172"/>
        <v>1.0646699885451603</v>
      </c>
      <c r="BH140" s="1">
        <f t="shared" si="173"/>
        <v>0.3279587918617765</v>
      </c>
      <c r="BI140" s="1">
        <f t="shared" si="174"/>
        <v>0.1406943217087021</v>
      </c>
      <c r="BJ140" s="1">
        <f t="shared" si="175"/>
        <v>0.7966119054322551</v>
      </c>
      <c r="BL140" s="2">
        <v>0.99</v>
      </c>
      <c r="BM140" s="2">
        <v>0.99</v>
      </c>
      <c r="BO140" s="1">
        <f t="shared" si="121"/>
        <v>0.15032357767163665</v>
      </c>
      <c r="BP140" s="1">
        <f t="shared" si="122"/>
        <v>0.0878731505637319</v>
      </c>
      <c r="BQ140" s="1">
        <f t="shared" si="123"/>
        <v>0.20750666661792727</v>
      </c>
      <c r="BR140" s="1">
        <f t="shared" si="124"/>
        <v>0.023273499206002773</v>
      </c>
      <c r="BS140" s="1">
        <f t="shared" si="125"/>
        <v>0</v>
      </c>
      <c r="BT140" s="1">
        <f t="shared" si="126"/>
        <v>0.05574235794829724</v>
      </c>
      <c r="BU140" s="1">
        <f t="shared" si="127"/>
        <v>0.5401674218899849</v>
      </c>
      <c r="BV140" s="1">
        <f t="shared" si="128"/>
        <v>0.2776460548514523</v>
      </c>
      <c r="BW140" s="1">
        <f t="shared" si="129"/>
        <v>1.0646699885451603</v>
      </c>
      <c r="BX140" s="1">
        <f t="shared" si="130"/>
        <v>0.3279587918617765</v>
      </c>
      <c r="BY140" s="1">
        <f t="shared" si="131"/>
        <v>0.1406943217087021</v>
      </c>
      <c r="BZ140" s="1">
        <f t="shared" si="132"/>
        <v>0.7966119054322551</v>
      </c>
      <c r="CA140" s="1">
        <f t="shared" si="133"/>
        <v>1.6378366240722768</v>
      </c>
      <c r="CB140" s="1">
        <f t="shared" si="134"/>
        <v>1.2235321228678402</v>
      </c>
      <c r="CC140" s="1">
        <f t="shared" si="135"/>
        <v>5.043800577774334</v>
      </c>
      <c r="CD140" s="1">
        <f t="shared" si="149"/>
        <v>14.948546262303275</v>
      </c>
      <c r="CE140" s="1">
        <f t="shared" si="150"/>
        <v>7.474273131151637</v>
      </c>
      <c r="CF140" s="1">
        <f t="shared" si="151"/>
        <v>34.65344815352123</v>
      </c>
      <c r="CG140" t="s">
        <v>143</v>
      </c>
      <c r="CH140" s="9" t="s">
        <v>226</v>
      </c>
      <c r="CI140" s="1">
        <v>151.66992909678314</v>
      </c>
      <c r="CJ140" s="102">
        <v>0</v>
      </c>
      <c r="CK140" s="1">
        <v>0</v>
      </c>
      <c r="CL140" s="1">
        <f t="shared" si="136"/>
        <v>0</v>
      </c>
      <c r="CM140" s="1">
        <v>0</v>
      </c>
      <c r="CN140" s="1">
        <v>0</v>
      </c>
      <c r="CO140" s="1">
        <f t="shared" si="137"/>
        <v>0</v>
      </c>
      <c r="CP140" s="1">
        <f t="shared" si="152"/>
        <v>0</v>
      </c>
      <c r="CQ140" s="1">
        <f t="shared" si="153"/>
        <v>0</v>
      </c>
      <c r="CR140" s="1">
        <f t="shared" si="154"/>
        <v>0</v>
      </c>
      <c r="CS140" s="1">
        <f t="shared" si="155"/>
        <v>0</v>
      </c>
      <c r="CT140" s="1">
        <f t="shared" si="156"/>
        <v>0</v>
      </c>
      <c r="CU140" s="1">
        <f t="shared" si="157"/>
        <v>0</v>
      </c>
    </row>
    <row r="141" spans="1:99" ht="12.75">
      <c r="A141" t="s">
        <v>144</v>
      </c>
      <c r="B141" s="1">
        <v>2045.871313792923</v>
      </c>
      <c r="C141" s="9" t="s">
        <v>132</v>
      </c>
      <c r="D141" s="107">
        <v>12.5</v>
      </c>
      <c r="E141" s="122">
        <v>9</v>
      </c>
      <c r="F141" s="107">
        <v>54.5</v>
      </c>
      <c r="G141" s="122">
        <v>5</v>
      </c>
      <c r="H141" s="107">
        <v>7</v>
      </c>
      <c r="I141" s="1">
        <f t="shared" si="158"/>
        <v>255.7339142241154</v>
      </c>
      <c r="J141" s="1">
        <f t="shared" si="159"/>
        <v>184.12841824136308</v>
      </c>
      <c r="K141" s="1">
        <f t="shared" si="160"/>
        <v>1114.9998660171432</v>
      </c>
      <c r="L141" s="1">
        <f t="shared" si="161"/>
        <v>102.29356568964614</v>
      </c>
      <c r="M141" s="1">
        <f t="shared" si="162"/>
        <v>143.2109919655046</v>
      </c>
      <c r="N141" s="12">
        <f t="shared" si="138"/>
        <v>-0.07512000000000002</v>
      </c>
      <c r="O141" s="12">
        <f t="shared" si="139"/>
        <v>0.0007599999999999996</v>
      </c>
      <c r="P141" s="12">
        <f t="shared" si="140"/>
        <v>0.005790000000000029</v>
      </c>
      <c r="Q141" s="12">
        <f t="shared" si="141"/>
        <v>-0.37744000000000005</v>
      </c>
      <c r="R141" s="12">
        <f t="shared" si="142"/>
        <v>-0.055241999999999986</v>
      </c>
      <c r="S141" s="1">
        <f t="shared" si="100"/>
        <v>224.48232972255042</v>
      </c>
      <c r="T141" s="2">
        <f t="shared" si="163"/>
        <v>0.10972456</v>
      </c>
      <c r="U141" s="1">
        <f t="shared" si="102"/>
        <v>25.8154679180933</v>
      </c>
      <c r="V141" s="1">
        <f t="shared" si="103"/>
        <v>11.612470916547533</v>
      </c>
      <c r="W141" s="1">
        <f t="shared" si="104"/>
        <v>5.8062354582737665</v>
      </c>
      <c r="X141" s="1">
        <f t="shared" si="105"/>
        <v>26.919818942905643</v>
      </c>
      <c r="Y141" s="1">
        <f t="shared" si="106"/>
        <v>4.238226385161751</v>
      </c>
      <c r="Z141" s="1">
        <f t="shared" si="107"/>
        <v>2.1191131925808757</v>
      </c>
      <c r="AA141" s="1">
        <f t="shared" si="108"/>
        <v>9.824979347420422</v>
      </c>
      <c r="AB141" s="1">
        <f t="shared" si="109"/>
        <v>60.992217136637684</v>
      </c>
      <c r="AC141" s="1">
        <f t="shared" si="110"/>
        <v>30.496108568318842</v>
      </c>
      <c r="AD141" s="1">
        <f t="shared" si="111"/>
        <v>141.39104881675098</v>
      </c>
      <c r="AE141" s="1">
        <f t="shared" si="112"/>
        <v>36.100455843356634</v>
      </c>
      <c r="AF141" s="1">
        <f t="shared" si="113"/>
        <v>18.050227921678317</v>
      </c>
      <c r="AG141" s="1">
        <f t="shared" si="114"/>
        <v>83.68742036414491</v>
      </c>
      <c r="AH141"/>
      <c r="AI141"/>
      <c r="AJ141"/>
      <c r="AK141"/>
      <c r="AL141"/>
      <c r="AM141"/>
      <c r="AN141"/>
      <c r="AP141" t="s">
        <v>144</v>
      </c>
      <c r="AQ141" s="9" t="s">
        <v>226</v>
      </c>
      <c r="AR141" s="1">
        <v>2045.871313792923</v>
      </c>
      <c r="AS141" s="1">
        <v>224.48232972255042</v>
      </c>
      <c r="AT141" s="1">
        <v>112.24116486127521</v>
      </c>
      <c r="AU141" s="1">
        <v>520.3908552659123</v>
      </c>
      <c r="AV141" s="1">
        <v>25.8154679180933</v>
      </c>
      <c r="AW141" s="1">
        <v>17.958586377804036</v>
      </c>
      <c r="AX141" s="1">
        <v>74.07916880844164</v>
      </c>
      <c r="AY141" s="1">
        <f t="shared" si="115"/>
        <v>4.724230629011074</v>
      </c>
      <c r="AZ141" s="1">
        <f t="shared" si="116"/>
        <v>2.761596256494713</v>
      </c>
      <c r="BA141" s="1">
        <f t="shared" si="117"/>
        <v>6.521327960286887</v>
      </c>
      <c r="BB141" s="1">
        <f t="shared" si="118"/>
        <v>1.4972971392494114</v>
      </c>
      <c r="BC141" s="1">
        <f t="shared" si="119"/>
        <v>0</v>
      </c>
      <c r="BD141" s="1">
        <f t="shared" si="120"/>
        <v>3.586176378216265</v>
      </c>
      <c r="BE141" s="1">
        <f t="shared" si="170"/>
        <v>7.228331017066125</v>
      </c>
      <c r="BF141" s="1">
        <f t="shared" si="171"/>
        <v>3.7153621427719883</v>
      </c>
      <c r="BG141" s="1">
        <f t="shared" si="172"/>
        <v>14.247040434637334</v>
      </c>
      <c r="BH141" s="1">
        <f t="shared" si="173"/>
        <v>4.388629546075862</v>
      </c>
      <c r="BI141" s="1">
        <f t="shared" si="174"/>
        <v>1.8827220752665446</v>
      </c>
      <c r="BJ141" s="1">
        <f t="shared" si="175"/>
        <v>10.659981167418268</v>
      </c>
      <c r="BL141" s="2">
        <v>0.66</v>
      </c>
      <c r="BM141" s="2">
        <v>0.45</v>
      </c>
      <c r="BO141" s="1">
        <f t="shared" si="121"/>
        <v>3.4912064348391834</v>
      </c>
      <c r="BP141" s="1">
        <f t="shared" si="122"/>
        <v>2.0408196335495927</v>
      </c>
      <c r="BQ141" s="1">
        <f t="shared" si="123"/>
        <v>4.819261362652009</v>
      </c>
      <c r="BR141" s="1">
        <f t="shared" si="124"/>
        <v>0.7067242497257221</v>
      </c>
      <c r="BS141" s="1">
        <f t="shared" si="125"/>
        <v>0</v>
      </c>
      <c r="BT141" s="1">
        <f t="shared" si="126"/>
        <v>1.692675250518077</v>
      </c>
      <c r="BU141" s="1">
        <f t="shared" si="127"/>
        <v>7.228331017066125</v>
      </c>
      <c r="BV141" s="1">
        <f t="shared" si="128"/>
        <v>3.7153621427719883</v>
      </c>
      <c r="BW141" s="1">
        <f t="shared" si="129"/>
        <v>14.247040434637334</v>
      </c>
      <c r="BX141" s="1">
        <f t="shared" si="130"/>
        <v>4.388629546075862</v>
      </c>
      <c r="BY141" s="1">
        <f t="shared" si="131"/>
        <v>1.8827220752665446</v>
      </c>
      <c r="BZ141" s="1">
        <f t="shared" si="132"/>
        <v>10.659981167418268</v>
      </c>
      <c r="CA141" s="1">
        <f t="shared" si="133"/>
        <v>23.791870834397724</v>
      </c>
      <c r="CB141" s="1">
        <f t="shared" si="134"/>
        <v>17.237809754858915</v>
      </c>
      <c r="CC141" s="1">
        <f t="shared" si="135"/>
        <v>70.48360108310857</v>
      </c>
      <c r="CD141" s="1">
        <f t="shared" si="149"/>
        <v>211.48480283161473</v>
      </c>
      <c r="CE141" s="1">
        <f t="shared" si="150"/>
        <v>105.74240141580736</v>
      </c>
      <c r="CF141" s="1">
        <f t="shared" si="151"/>
        <v>490.2602247460159</v>
      </c>
      <c r="CG141" t="s">
        <v>144</v>
      </c>
      <c r="CH141" s="9" t="s">
        <v>226</v>
      </c>
      <c r="CI141" s="1">
        <v>2045.871313792923</v>
      </c>
      <c r="CJ141" s="102">
        <v>0.0722371</v>
      </c>
      <c r="CK141" s="1">
        <v>0.3966997</v>
      </c>
      <c r="CL141" s="1">
        <f t="shared" si="136"/>
        <v>0.4689368</v>
      </c>
      <c r="CM141" s="1">
        <v>0</v>
      </c>
      <c r="CN141" s="1">
        <v>0</v>
      </c>
      <c r="CO141" s="1">
        <f t="shared" si="137"/>
        <v>0</v>
      </c>
      <c r="CP141" s="1">
        <f t="shared" si="152"/>
        <v>0</v>
      </c>
      <c r="CQ141" s="1">
        <f t="shared" si="153"/>
        <v>0</v>
      </c>
      <c r="CR141" s="1">
        <f t="shared" si="154"/>
        <v>0</v>
      </c>
      <c r="CS141" s="1">
        <f t="shared" si="155"/>
        <v>0</v>
      </c>
      <c r="CT141" s="1">
        <f t="shared" si="156"/>
        <v>0</v>
      </c>
      <c r="CU141" s="1">
        <f t="shared" si="157"/>
        <v>0</v>
      </c>
    </row>
    <row r="142" spans="1:99" ht="12.75">
      <c r="A142" t="s">
        <v>145</v>
      </c>
      <c r="B142" s="1">
        <v>962437</v>
      </c>
      <c r="C142" s="9" t="s">
        <v>132</v>
      </c>
      <c r="D142" s="122">
        <v>18</v>
      </c>
      <c r="E142" s="122">
        <v>10</v>
      </c>
      <c r="F142" s="122">
        <v>44</v>
      </c>
      <c r="G142" s="107">
        <v>41</v>
      </c>
      <c r="H142" s="107">
        <v>7</v>
      </c>
      <c r="I142" s="1">
        <f t="shared" si="158"/>
        <v>173238.66</v>
      </c>
      <c r="J142" s="1">
        <f t="shared" si="159"/>
        <v>96243.7</v>
      </c>
      <c r="K142" s="1">
        <f t="shared" si="160"/>
        <v>423472.28</v>
      </c>
      <c r="L142" s="1">
        <f t="shared" si="161"/>
        <v>394599.17</v>
      </c>
      <c r="M142" s="1">
        <f t="shared" si="162"/>
        <v>67370.59</v>
      </c>
      <c r="N142" s="12">
        <f t="shared" si="138"/>
        <v>-0.031120000000000016</v>
      </c>
      <c r="O142" s="12">
        <f t="shared" si="139"/>
        <v>0.004760000000000004</v>
      </c>
      <c r="P142" s="12">
        <f t="shared" si="140"/>
        <v>-0.025709999999999983</v>
      </c>
      <c r="Q142" s="12">
        <f t="shared" si="141"/>
        <v>-0.08944000000000006</v>
      </c>
      <c r="R142" s="12">
        <f t="shared" si="142"/>
        <v>-0.055241999999999986</v>
      </c>
      <c r="S142" s="1">
        <f t="shared" si="100"/>
        <v>170076.63098271997</v>
      </c>
      <c r="T142" s="2">
        <f t="shared" si="163"/>
        <v>0.17671455999999997</v>
      </c>
      <c r="U142" s="1">
        <f t="shared" si="102"/>
        <v>19558.812563012798</v>
      </c>
      <c r="V142" s="1">
        <f t="shared" si="103"/>
        <v>11905.3641687904</v>
      </c>
      <c r="W142" s="1">
        <f t="shared" si="104"/>
        <v>5952.6820843952</v>
      </c>
      <c r="X142" s="1">
        <f t="shared" si="105"/>
        <v>27598.7987549232</v>
      </c>
      <c r="Y142" s="1">
        <f t="shared" si="106"/>
        <v>3755.292012098457</v>
      </c>
      <c r="Z142" s="1">
        <f t="shared" si="107"/>
        <v>1877.6460060492284</v>
      </c>
      <c r="AA142" s="1">
        <f t="shared" si="108"/>
        <v>8705.44966441006</v>
      </c>
      <c r="AB142" s="1">
        <f t="shared" si="109"/>
        <v>47951.37812700711</v>
      </c>
      <c r="AC142" s="1">
        <f t="shared" si="110"/>
        <v>23975.689063503556</v>
      </c>
      <c r="AD142" s="1">
        <f t="shared" si="111"/>
        <v>111160.01293078922</v>
      </c>
      <c r="AE142" s="1">
        <f t="shared" si="112"/>
        <v>28381.762296394292</v>
      </c>
      <c r="AF142" s="1">
        <f t="shared" si="113"/>
        <v>14190.881148197146</v>
      </c>
      <c r="AG142" s="1">
        <f t="shared" si="114"/>
        <v>65794.0853234595</v>
      </c>
      <c r="AH142"/>
      <c r="AI142"/>
      <c r="AJ142"/>
      <c r="AK142"/>
      <c r="AL142"/>
      <c r="AM142"/>
      <c r="AN142"/>
      <c r="AP142" t="s">
        <v>145</v>
      </c>
      <c r="AQ142" s="9" t="s">
        <v>226</v>
      </c>
      <c r="AR142" s="1">
        <v>962437</v>
      </c>
      <c r="AS142" s="1">
        <v>170076.63098271997</v>
      </c>
      <c r="AT142" s="1">
        <v>85038.31549135999</v>
      </c>
      <c r="AU142" s="1">
        <v>394268.55364175997</v>
      </c>
      <c r="AV142" s="1">
        <v>19558.812563012798</v>
      </c>
      <c r="AW142" s="1">
        <v>13606.130478617599</v>
      </c>
      <c r="AX142" s="1">
        <v>56125.28822429759</v>
      </c>
      <c r="AY142" s="1">
        <f t="shared" si="115"/>
        <v>3579.262699031342</v>
      </c>
      <c r="AZ142" s="1">
        <f t="shared" si="116"/>
        <v>2092.2938033457613</v>
      </c>
      <c r="BA142" s="1">
        <f t="shared" si="117"/>
        <v>4940.814229742865</v>
      </c>
      <c r="BB142" s="1">
        <f t="shared" si="118"/>
        <v>1134.4111286547422</v>
      </c>
      <c r="BC142" s="1">
        <f t="shared" si="119"/>
        <v>0</v>
      </c>
      <c r="BD142" s="1">
        <f t="shared" si="120"/>
        <v>2717.0280942409727</v>
      </c>
      <c r="BE142" s="1">
        <f t="shared" si="170"/>
        <v>5476.467517643584</v>
      </c>
      <c r="BF142" s="1">
        <f t="shared" si="171"/>
        <v>2814.904304068802</v>
      </c>
      <c r="BG142" s="1">
        <f t="shared" si="172"/>
        <v>10794.117477275504</v>
      </c>
      <c r="BH142" s="1">
        <f t="shared" si="173"/>
        <v>3324.998135712176</v>
      </c>
      <c r="BI142" s="1">
        <f t="shared" si="174"/>
        <v>1426.4242002205235</v>
      </c>
      <c r="BJ142" s="1">
        <f t="shared" si="175"/>
        <v>8076.420471644875</v>
      </c>
      <c r="BL142" s="2">
        <v>0.56</v>
      </c>
      <c r="BM142" s="2">
        <v>0</v>
      </c>
      <c r="BO142" s="1">
        <f t="shared" si="121"/>
        <v>3579.262699031342</v>
      </c>
      <c r="BP142" s="1">
        <f t="shared" si="122"/>
        <v>2092.2938033457613</v>
      </c>
      <c r="BQ142" s="1">
        <f t="shared" si="123"/>
        <v>4940.814229742865</v>
      </c>
      <c r="BR142" s="1">
        <f t="shared" si="124"/>
        <v>626.1949430174177</v>
      </c>
      <c r="BS142" s="1">
        <f t="shared" si="125"/>
        <v>0</v>
      </c>
      <c r="BT142" s="1">
        <f t="shared" si="126"/>
        <v>1499.799508021017</v>
      </c>
      <c r="BU142" s="1">
        <f t="shared" si="127"/>
        <v>5476.467517643584</v>
      </c>
      <c r="BV142" s="1">
        <f t="shared" si="128"/>
        <v>2814.904304068802</v>
      </c>
      <c r="BW142" s="1">
        <f t="shared" si="129"/>
        <v>10794.117477275504</v>
      </c>
      <c r="BX142" s="1">
        <f t="shared" si="130"/>
        <v>3324.998135712176</v>
      </c>
      <c r="BY142" s="1">
        <f t="shared" si="131"/>
        <v>1426.4242002205235</v>
      </c>
      <c r="BZ142" s="1">
        <f t="shared" si="132"/>
        <v>8076.420471644875</v>
      </c>
      <c r="CA142" s="1">
        <f t="shared" si="133"/>
        <v>19050.596377375474</v>
      </c>
      <c r="CB142" s="1">
        <f t="shared" si="134"/>
        <v>13606.130478617599</v>
      </c>
      <c r="CC142" s="1">
        <f t="shared" si="135"/>
        <v>54908.05963807763</v>
      </c>
      <c r="CD142" s="1">
        <f t="shared" si="149"/>
        <v>166266.91444870704</v>
      </c>
      <c r="CE142" s="1">
        <f t="shared" si="150"/>
        <v>83133.45722435352</v>
      </c>
      <c r="CF142" s="1">
        <f t="shared" si="151"/>
        <v>385436.93804018456</v>
      </c>
      <c r="CG142" t="s">
        <v>145</v>
      </c>
      <c r="CH142" s="9" t="s">
        <v>226</v>
      </c>
      <c r="CI142" s="1">
        <v>962437</v>
      </c>
      <c r="CJ142" s="102">
        <v>395.7553</v>
      </c>
      <c r="CK142" s="1">
        <v>1738.999</v>
      </c>
      <c r="CL142" s="1">
        <f t="shared" si="136"/>
        <v>2134.7543</v>
      </c>
      <c r="CM142" s="1">
        <v>382.891827998354</v>
      </c>
      <c r="CN142" s="1">
        <v>1655.03211911308</v>
      </c>
      <c r="CO142" s="1">
        <f t="shared" si="137"/>
        <v>2037.923947111434</v>
      </c>
      <c r="CP142" s="1">
        <f t="shared" si="152"/>
        <v>671.6997329679286</v>
      </c>
      <c r="CQ142" s="1">
        <f t="shared" si="153"/>
        <v>355.61772877094523</v>
      </c>
      <c r="CR142" s="1">
        <f t="shared" si="154"/>
        <v>928.4781503039693</v>
      </c>
      <c r="CS142" s="1">
        <f t="shared" si="155"/>
        <v>264.3377704798511</v>
      </c>
      <c r="CT142" s="1">
        <f t="shared" si="156"/>
        <v>34.43895262131175</v>
      </c>
      <c r="CU142" s="1">
        <f t="shared" si="157"/>
        <v>484.1302297064042</v>
      </c>
    </row>
    <row r="143" spans="1:99" ht="12.75">
      <c r="A143" t="s">
        <v>146</v>
      </c>
      <c r="B143" s="1">
        <v>11254421</v>
      </c>
      <c r="C143" s="9" t="s">
        <v>132</v>
      </c>
      <c r="D143" s="122">
        <v>22</v>
      </c>
      <c r="E143" s="29">
        <v>15.2</v>
      </c>
      <c r="F143" s="29">
        <v>60.2</v>
      </c>
      <c r="G143" s="125">
        <v>45</v>
      </c>
      <c r="H143" s="106">
        <v>11.5</v>
      </c>
      <c r="I143" s="1">
        <f t="shared" si="158"/>
        <v>2475972.62</v>
      </c>
      <c r="J143" s="1">
        <f t="shared" si="159"/>
        <v>1710671.9919999999</v>
      </c>
      <c r="K143" s="1">
        <f t="shared" si="160"/>
        <v>6775161.442000001</v>
      </c>
      <c r="L143" s="1">
        <f t="shared" si="161"/>
        <v>5064489.45</v>
      </c>
      <c r="M143" s="1">
        <f t="shared" si="162"/>
        <v>1294258.415</v>
      </c>
      <c r="N143" s="12">
        <f t="shared" si="138"/>
        <v>0.0008799999999999919</v>
      </c>
      <c r="O143" s="12">
        <f t="shared" si="139"/>
        <v>0.02556</v>
      </c>
      <c r="P143" s="12">
        <f t="shared" si="140"/>
        <v>0.02289000000000001</v>
      </c>
      <c r="Q143" s="12">
        <f t="shared" si="141"/>
        <v>-0.057440000000000026</v>
      </c>
      <c r="R143" s="12">
        <f t="shared" si="142"/>
        <v>-0.01069199999999999</v>
      </c>
      <c r="S143" s="1">
        <f t="shared" si="100"/>
        <v>2429419.38279876</v>
      </c>
      <c r="T143" s="2">
        <f t="shared" si="163"/>
        <v>0.21586356</v>
      </c>
      <c r="U143" s="1">
        <f t="shared" si="102"/>
        <v>279383.22902185743</v>
      </c>
      <c r="V143" s="1">
        <f t="shared" si="103"/>
        <v>170059.35679591322</v>
      </c>
      <c r="W143" s="1">
        <f t="shared" si="104"/>
        <v>85029.67839795661</v>
      </c>
      <c r="X143" s="1">
        <f t="shared" si="105"/>
        <v>394228.5089359807</v>
      </c>
      <c r="Y143" s="1">
        <f t="shared" si="106"/>
        <v>96399.3611094548</v>
      </c>
      <c r="Z143" s="1">
        <f t="shared" si="107"/>
        <v>48199.6805547274</v>
      </c>
      <c r="AA143" s="1">
        <f t="shared" si="108"/>
        <v>223471.2462082816</v>
      </c>
      <c r="AB143" s="1">
        <f t="shared" si="109"/>
        <v>700364.2921791627</v>
      </c>
      <c r="AC143" s="1">
        <f t="shared" si="110"/>
        <v>350182.14608958137</v>
      </c>
      <c r="AD143" s="1">
        <f t="shared" si="111"/>
        <v>1623571.7682335137</v>
      </c>
      <c r="AE143" s="1">
        <f t="shared" si="112"/>
        <v>414536.00788829086</v>
      </c>
      <c r="AF143" s="1">
        <f t="shared" si="113"/>
        <v>207268.00394414543</v>
      </c>
      <c r="AG143" s="1">
        <f t="shared" si="114"/>
        <v>960969.8364683107</v>
      </c>
      <c r="AH143"/>
      <c r="AI143"/>
      <c r="AJ143"/>
      <c r="AK143"/>
      <c r="AL143"/>
      <c r="AM143"/>
      <c r="AN143"/>
      <c r="AP143" t="s">
        <v>146</v>
      </c>
      <c r="AQ143" s="9" t="s">
        <v>226</v>
      </c>
      <c r="AR143" s="1">
        <v>11254421</v>
      </c>
      <c r="AS143" s="1">
        <v>2429419.38279876</v>
      </c>
      <c r="AT143" s="1">
        <v>1214709.69139938</v>
      </c>
      <c r="AU143" s="1">
        <v>5631835.84194258</v>
      </c>
      <c r="AV143" s="1">
        <v>279383.22902185743</v>
      </c>
      <c r="AW143" s="1">
        <v>194353.5506239008</v>
      </c>
      <c r="AX143" s="1">
        <v>801708.3963235909</v>
      </c>
      <c r="AY143" s="1">
        <f t="shared" si="115"/>
        <v>51127.13091099991</v>
      </c>
      <c r="AZ143" s="1">
        <f t="shared" si="116"/>
        <v>29886.87564533411</v>
      </c>
      <c r="BA143" s="1">
        <f t="shared" si="117"/>
        <v>70575.89150954428</v>
      </c>
      <c r="BB143" s="1">
        <f t="shared" si="118"/>
        <v>16204.227283267732</v>
      </c>
      <c r="BC143" s="1">
        <f t="shared" si="119"/>
        <v>0</v>
      </c>
      <c r="BD143" s="1">
        <f t="shared" si="120"/>
        <v>38810.74476615454</v>
      </c>
      <c r="BE143" s="1">
        <f t="shared" si="170"/>
        <v>78227.30412612009</v>
      </c>
      <c r="BF143" s="1">
        <f t="shared" si="171"/>
        <v>40208.83432082573</v>
      </c>
      <c r="BG143" s="1">
        <f t="shared" si="172"/>
        <v>154186.0164325827</v>
      </c>
      <c r="BH143" s="1">
        <f t="shared" si="173"/>
        <v>47495.14893371577</v>
      </c>
      <c r="BI143" s="1">
        <f t="shared" si="174"/>
        <v>20375.418892564063</v>
      </c>
      <c r="BJ143" s="1">
        <f t="shared" si="175"/>
        <v>115365.7167599956</v>
      </c>
      <c r="BL143" s="2">
        <v>0.01</v>
      </c>
      <c r="BM143" s="2">
        <v>0</v>
      </c>
      <c r="BO143" s="1">
        <f t="shared" si="121"/>
        <v>51127.13091099991</v>
      </c>
      <c r="BP143" s="1">
        <f t="shared" si="122"/>
        <v>29886.87564533411</v>
      </c>
      <c r="BQ143" s="1">
        <f t="shared" si="123"/>
        <v>70575.89150954428</v>
      </c>
      <c r="BR143" s="1">
        <f t="shared" si="124"/>
        <v>16074.59346500159</v>
      </c>
      <c r="BS143" s="1">
        <f t="shared" si="125"/>
        <v>0</v>
      </c>
      <c r="BT143" s="1">
        <f t="shared" si="126"/>
        <v>38500.258808025304</v>
      </c>
      <c r="BU143" s="1">
        <f t="shared" si="127"/>
        <v>78227.30412612009</v>
      </c>
      <c r="BV143" s="1">
        <f t="shared" si="128"/>
        <v>40208.83432082573</v>
      </c>
      <c r="BW143" s="1">
        <f t="shared" si="129"/>
        <v>154186.0164325827</v>
      </c>
      <c r="BX143" s="1">
        <f t="shared" si="130"/>
        <v>47495.14893371577</v>
      </c>
      <c r="BY143" s="1">
        <f t="shared" si="131"/>
        <v>20375.418892564063</v>
      </c>
      <c r="BZ143" s="1">
        <f t="shared" si="132"/>
        <v>115365.7167599956</v>
      </c>
      <c r="CA143" s="1">
        <f t="shared" si="133"/>
        <v>279253.5952035913</v>
      </c>
      <c r="CB143" s="1">
        <f t="shared" si="134"/>
        <v>194353.5506239008</v>
      </c>
      <c r="CC143" s="1">
        <f t="shared" si="135"/>
        <v>801397.9103654616</v>
      </c>
      <c r="CD143" s="1">
        <f t="shared" si="149"/>
        <v>2428447.6150456406</v>
      </c>
      <c r="CE143" s="1">
        <f t="shared" si="150"/>
        <v>1214223.8075228203</v>
      </c>
      <c r="CF143" s="1">
        <f t="shared" si="151"/>
        <v>5629583.107605804</v>
      </c>
      <c r="CG143" t="s">
        <v>146</v>
      </c>
      <c r="CH143" s="9" t="s">
        <v>226</v>
      </c>
      <c r="CI143" s="1">
        <v>11254421</v>
      </c>
      <c r="CJ143" s="102">
        <v>1263.938</v>
      </c>
      <c r="CK143" s="1">
        <v>9409.047</v>
      </c>
      <c r="CL143" s="1">
        <f t="shared" si="136"/>
        <v>10672.985</v>
      </c>
      <c r="CM143" s="1">
        <v>1142.69866295072</v>
      </c>
      <c r="CN143" s="1">
        <v>7831.35978876298</v>
      </c>
      <c r="CO143" s="1">
        <f t="shared" si="137"/>
        <v>8974.0584517137</v>
      </c>
      <c r="CP143" s="1">
        <f t="shared" si="152"/>
        <v>2957.8496656848356</v>
      </c>
      <c r="CQ143" s="1">
        <f t="shared" si="153"/>
        <v>1565.9731998240404</v>
      </c>
      <c r="CR143" s="1">
        <f t="shared" si="154"/>
        <v>4088.5810306007616</v>
      </c>
      <c r="CS143" s="1">
        <f t="shared" si="155"/>
        <v>1895.8462034424729</v>
      </c>
      <c r="CT143" s="1">
        <f t="shared" si="156"/>
        <v>268.9134021977907</v>
      </c>
      <c r="CU143" s="1">
        <f t="shared" si="157"/>
        <v>3221.2353407508194</v>
      </c>
    </row>
    <row r="144" spans="1:99" ht="12.75">
      <c r="A144" t="s">
        <v>147</v>
      </c>
      <c r="B144" s="1">
        <v>2371820</v>
      </c>
      <c r="C144" s="9" t="s">
        <v>132</v>
      </c>
      <c r="D144" s="107">
        <v>12.5</v>
      </c>
      <c r="E144" s="122">
        <v>4</v>
      </c>
      <c r="F144" s="107">
        <v>54.5</v>
      </c>
      <c r="G144" s="122">
        <v>5</v>
      </c>
      <c r="H144" s="107">
        <v>7</v>
      </c>
      <c r="I144" s="1">
        <f t="shared" si="158"/>
        <v>296477.5</v>
      </c>
      <c r="J144" s="1">
        <f t="shared" si="159"/>
        <v>94872.8</v>
      </c>
      <c r="K144" s="1">
        <f t="shared" si="160"/>
        <v>1292641.9</v>
      </c>
      <c r="L144" s="1">
        <f t="shared" si="161"/>
        <v>118591</v>
      </c>
      <c r="M144" s="1">
        <f t="shared" si="162"/>
        <v>166027.4</v>
      </c>
      <c r="N144" s="12">
        <f t="shared" si="138"/>
        <v>-0.07512000000000002</v>
      </c>
      <c r="O144" s="12">
        <f t="shared" si="139"/>
        <v>-0.01924</v>
      </c>
      <c r="P144" s="12">
        <f t="shared" si="140"/>
        <v>0.005790000000000029</v>
      </c>
      <c r="Q144" s="12">
        <f t="shared" si="141"/>
        <v>-0.37744000000000005</v>
      </c>
      <c r="R144" s="12">
        <f t="shared" si="142"/>
        <v>-0.055241999999999986</v>
      </c>
      <c r="S144" s="1">
        <f t="shared" si="100"/>
        <v>249810.89789919998</v>
      </c>
      <c r="T144" s="2">
        <f t="shared" si="163"/>
        <v>0.10532455999999998</v>
      </c>
      <c r="U144" s="1">
        <f t="shared" si="102"/>
        <v>28728.253258408</v>
      </c>
      <c r="V144" s="1">
        <f t="shared" si="103"/>
        <v>17486.762852944</v>
      </c>
      <c r="W144" s="1">
        <f t="shared" si="104"/>
        <v>8743.381426472</v>
      </c>
      <c r="X144" s="1">
        <f t="shared" si="105"/>
        <v>40537.495704552</v>
      </c>
      <c r="Y144" s="1">
        <f t="shared" si="106"/>
        <v>9992.435915967999</v>
      </c>
      <c r="Z144" s="1">
        <f t="shared" si="107"/>
        <v>4996.217957983999</v>
      </c>
      <c r="AA144" s="1">
        <f t="shared" si="108"/>
        <v>23164.283259743996</v>
      </c>
      <c r="AB144" s="1">
        <f t="shared" si="109"/>
        <v>72045.46295412927</v>
      </c>
      <c r="AC144" s="1">
        <f t="shared" si="110"/>
        <v>36022.73147706463</v>
      </c>
      <c r="AD144" s="1">
        <f t="shared" si="111"/>
        <v>167014.48230275422</v>
      </c>
      <c r="AE144" s="1">
        <f t="shared" si="112"/>
        <v>42642.72027139343</v>
      </c>
      <c r="AF144" s="1">
        <f t="shared" si="113"/>
        <v>21321.360135696716</v>
      </c>
      <c r="AG144" s="1">
        <f t="shared" si="114"/>
        <v>98853.57881095751</v>
      </c>
      <c r="AH144"/>
      <c r="AI144"/>
      <c r="AJ144"/>
      <c r="AK144"/>
      <c r="AL144"/>
      <c r="AM144"/>
      <c r="AN144"/>
      <c r="AP144" t="s">
        <v>147</v>
      </c>
      <c r="AQ144" s="9" t="s">
        <v>226</v>
      </c>
      <c r="AR144" s="1">
        <v>2371820</v>
      </c>
      <c r="AS144" s="1">
        <v>249810.89789919998</v>
      </c>
      <c r="AT144" s="1">
        <v>124905.44894959999</v>
      </c>
      <c r="AU144" s="1">
        <v>579107.0814935999</v>
      </c>
      <c r="AV144" s="1">
        <v>28728.253258408</v>
      </c>
      <c r="AW144" s="1">
        <v>19984.871831935998</v>
      </c>
      <c r="AX144" s="1">
        <v>82437.596306736</v>
      </c>
      <c r="AY144" s="1">
        <f t="shared" si="115"/>
        <v>5257.270346288664</v>
      </c>
      <c r="AZ144" s="1">
        <f t="shared" si="116"/>
        <v>3073.1899536265014</v>
      </c>
      <c r="BA144" s="1">
        <f t="shared" si="117"/>
        <v>7257.135986016872</v>
      </c>
      <c r="BB144" s="1">
        <f t="shared" si="118"/>
        <v>1666.238688987664</v>
      </c>
      <c r="BC144" s="1">
        <f t="shared" si="119"/>
        <v>0</v>
      </c>
      <c r="BD144" s="1">
        <f t="shared" si="120"/>
        <v>3990.808283994354</v>
      </c>
      <c r="BE144" s="1">
        <f t="shared" si="170"/>
        <v>8043.910912354241</v>
      </c>
      <c r="BF144" s="1">
        <f t="shared" si="171"/>
        <v>4134.57020895008</v>
      </c>
      <c r="BG144" s="1">
        <f t="shared" si="172"/>
        <v>15854.54840825021</v>
      </c>
      <c r="BH144" s="1">
        <f t="shared" si="173"/>
        <v>4883.80305392936</v>
      </c>
      <c r="BI144" s="1">
        <f t="shared" si="174"/>
        <v>2095.1515101356954</v>
      </c>
      <c r="BJ144" s="1">
        <f t="shared" si="175"/>
        <v>11862.757617994415</v>
      </c>
      <c r="BL144" s="2">
        <v>0</v>
      </c>
      <c r="BM144" s="2">
        <v>0</v>
      </c>
      <c r="BO144" s="1">
        <f t="shared" si="121"/>
        <v>5257.270346288664</v>
      </c>
      <c r="BP144" s="1">
        <f t="shared" si="122"/>
        <v>3073.1899536265014</v>
      </c>
      <c r="BQ144" s="1">
        <f t="shared" si="123"/>
        <v>7257.135986016872</v>
      </c>
      <c r="BR144" s="1">
        <f t="shared" si="124"/>
        <v>1666.238688987664</v>
      </c>
      <c r="BS144" s="1">
        <f t="shared" si="125"/>
        <v>0</v>
      </c>
      <c r="BT144" s="1">
        <f t="shared" si="126"/>
        <v>3990.808283994354</v>
      </c>
      <c r="BU144" s="1">
        <f t="shared" si="127"/>
        <v>8043.910912354241</v>
      </c>
      <c r="BV144" s="1">
        <f t="shared" si="128"/>
        <v>4134.57020895008</v>
      </c>
      <c r="BW144" s="1">
        <f t="shared" si="129"/>
        <v>15854.54840825021</v>
      </c>
      <c r="BX144" s="1">
        <f t="shared" si="130"/>
        <v>4883.80305392936</v>
      </c>
      <c r="BY144" s="1">
        <f t="shared" si="131"/>
        <v>2095.1515101356954</v>
      </c>
      <c r="BZ144" s="1">
        <f t="shared" si="132"/>
        <v>11862.757617994415</v>
      </c>
      <c r="CA144" s="1">
        <f t="shared" si="133"/>
        <v>28728.253258408</v>
      </c>
      <c r="CB144" s="1">
        <f t="shared" si="134"/>
        <v>19984.871831935998</v>
      </c>
      <c r="CC144" s="1">
        <f t="shared" si="135"/>
        <v>82437.596306736</v>
      </c>
      <c r="CD144" s="1">
        <f t="shared" si="149"/>
        <v>249810.89789919998</v>
      </c>
      <c r="CE144" s="1">
        <f t="shared" si="150"/>
        <v>124905.44894959999</v>
      </c>
      <c r="CF144" s="1">
        <f t="shared" si="151"/>
        <v>579107.0814935999</v>
      </c>
      <c r="CG144" t="s">
        <v>147</v>
      </c>
      <c r="CH144" s="9" t="s">
        <v>226</v>
      </c>
      <c r="CI144" s="1">
        <v>2371820</v>
      </c>
      <c r="CJ144" s="102">
        <v>8.596639</v>
      </c>
      <c r="CK144" s="1">
        <v>47.32533</v>
      </c>
      <c r="CL144" s="1">
        <f t="shared" si="136"/>
        <v>55.921969000000004</v>
      </c>
      <c r="CM144" s="1">
        <v>8.16763206333973</v>
      </c>
      <c r="CN144" s="1">
        <v>47.5570866579967</v>
      </c>
      <c r="CO144" s="1">
        <f t="shared" si="137"/>
        <v>55.72471872133643</v>
      </c>
      <c r="CP144" s="1">
        <f t="shared" si="152"/>
        <v>18.366867290552488</v>
      </c>
      <c r="CQ144" s="1">
        <f t="shared" si="153"/>
        <v>9.723963416873206</v>
      </c>
      <c r="CR144" s="1">
        <f t="shared" si="154"/>
        <v>25.388181849440876</v>
      </c>
      <c r="CS144" s="1">
        <f t="shared" si="155"/>
        <v>11.847075200156125</v>
      </c>
      <c r="CT144" s="1">
        <f t="shared" si="156"/>
        <v>1.6828865053843602</v>
      </c>
      <c r="CU144" s="1">
        <f t="shared" si="157"/>
        <v>20.105478514658184</v>
      </c>
    </row>
    <row r="145" spans="1:99" ht="12.75">
      <c r="A145" t="s">
        <v>148</v>
      </c>
      <c r="B145" s="1">
        <v>22338</v>
      </c>
      <c r="C145" s="9" t="s">
        <v>132</v>
      </c>
      <c r="D145" s="122">
        <v>1.7</v>
      </c>
      <c r="E145" s="122">
        <v>10</v>
      </c>
      <c r="F145" s="122">
        <v>49</v>
      </c>
      <c r="G145" s="122">
        <v>44</v>
      </c>
      <c r="H145" s="107">
        <v>7</v>
      </c>
      <c r="I145" s="1">
        <f t="shared" si="158"/>
        <v>379.746</v>
      </c>
      <c r="J145" s="1">
        <f t="shared" si="159"/>
        <v>2233.8</v>
      </c>
      <c r="K145" s="1">
        <f t="shared" si="160"/>
        <v>10945.62</v>
      </c>
      <c r="L145" s="1">
        <f t="shared" si="161"/>
        <v>9828.72</v>
      </c>
      <c r="M145" s="1">
        <f t="shared" si="162"/>
        <v>1563.66</v>
      </c>
      <c r="N145" s="12">
        <f t="shared" si="138"/>
        <v>-0.16152000000000002</v>
      </c>
      <c r="O145" s="12">
        <f t="shared" si="139"/>
        <v>0.004760000000000004</v>
      </c>
      <c r="P145" s="12">
        <f t="shared" si="140"/>
        <v>-0.010709999999999985</v>
      </c>
      <c r="Q145" s="12">
        <f t="shared" si="141"/>
        <v>-0.06544000000000004</v>
      </c>
      <c r="R145" s="12">
        <f t="shared" si="142"/>
        <v>-0.055241999999999986</v>
      </c>
      <c r="S145" s="1">
        <f t="shared" si="100"/>
        <v>3498.2773372799993</v>
      </c>
      <c r="T145" s="2">
        <f t="shared" si="163"/>
        <v>0.15660655999999998</v>
      </c>
      <c r="U145" s="1">
        <f t="shared" si="102"/>
        <v>402.30189378719996</v>
      </c>
      <c r="V145" s="1">
        <f t="shared" si="103"/>
        <v>244.87941360959996</v>
      </c>
      <c r="W145" s="1">
        <f t="shared" si="104"/>
        <v>122.43970680479998</v>
      </c>
      <c r="X145" s="1">
        <f t="shared" si="105"/>
        <v>567.6750042768</v>
      </c>
      <c r="Y145" s="1">
        <f t="shared" si="106"/>
        <v>42.5390524213248</v>
      </c>
      <c r="Z145" s="1">
        <f t="shared" si="107"/>
        <v>21.2695262106624</v>
      </c>
      <c r="AA145" s="1">
        <f t="shared" si="108"/>
        <v>98.61325788579839</v>
      </c>
      <c r="AB145" s="1">
        <f t="shared" si="109"/>
        <v>973.7933532658617</v>
      </c>
      <c r="AC145" s="1">
        <f t="shared" si="110"/>
        <v>486.89667663293085</v>
      </c>
      <c r="AD145" s="1">
        <f t="shared" si="111"/>
        <v>2257.430046207225</v>
      </c>
      <c r="AE145" s="1">
        <f t="shared" si="112"/>
        <v>576.3749147104112</v>
      </c>
      <c r="AF145" s="1">
        <f t="shared" si="113"/>
        <v>288.1874573552056</v>
      </c>
      <c r="AG145" s="1">
        <f t="shared" si="114"/>
        <v>1336.1418477377715</v>
      </c>
      <c r="AH145"/>
      <c r="AI145"/>
      <c r="AJ145"/>
      <c r="AK145"/>
      <c r="AL145"/>
      <c r="AM145"/>
      <c r="AN145"/>
      <c r="AP145" t="s">
        <v>148</v>
      </c>
      <c r="AQ145" s="9" t="s">
        <v>226</v>
      </c>
      <c r="AR145" s="1">
        <v>22338</v>
      </c>
      <c r="AS145" s="1">
        <v>3498.2773372799993</v>
      </c>
      <c r="AT145" s="1">
        <v>1749.1386686399997</v>
      </c>
      <c r="AU145" s="1">
        <v>8109.642918239999</v>
      </c>
      <c r="AV145" s="1">
        <v>402.30189378719996</v>
      </c>
      <c r="AW145" s="1">
        <v>279.8621869824</v>
      </c>
      <c r="AX145" s="1">
        <v>1154.4315213024</v>
      </c>
      <c r="AY145" s="1">
        <f t="shared" si="115"/>
        <v>73.6212465630576</v>
      </c>
      <c r="AZ145" s="1">
        <f t="shared" si="116"/>
        <v>43.03603589090095</v>
      </c>
      <c r="BA145" s="1">
        <f t="shared" si="117"/>
        <v>101.6267687556447</v>
      </c>
      <c r="BB145" s="1">
        <f t="shared" si="118"/>
        <v>23.333509839657598</v>
      </c>
      <c r="BC145" s="1">
        <f t="shared" si="119"/>
        <v>0</v>
      </c>
      <c r="BD145" s="1">
        <f t="shared" si="120"/>
        <v>55.886089416963905</v>
      </c>
      <c r="BE145" s="1">
        <f t="shared" si="170"/>
        <v>112.644530260416</v>
      </c>
      <c r="BF145" s="1">
        <f t="shared" si="171"/>
        <v>57.89928855385383</v>
      </c>
      <c r="BG145" s="1">
        <f t="shared" si="172"/>
        <v>222.02236914327995</v>
      </c>
      <c r="BH145" s="1">
        <f t="shared" si="173"/>
        <v>68.391321943824</v>
      </c>
      <c r="BI145" s="1">
        <f t="shared" si="174"/>
        <v>29.339877113900492</v>
      </c>
      <c r="BJ145" s="1">
        <f t="shared" si="175"/>
        <v>166.12252100154848</v>
      </c>
      <c r="BL145" s="2">
        <v>0.87</v>
      </c>
      <c r="BM145" s="2">
        <v>0</v>
      </c>
      <c r="BO145" s="1">
        <f t="shared" si="121"/>
        <v>73.6212465630576</v>
      </c>
      <c r="BP145" s="1">
        <f t="shared" si="122"/>
        <v>43.03603589090095</v>
      </c>
      <c r="BQ145" s="1">
        <f t="shared" si="123"/>
        <v>101.6267687556447</v>
      </c>
      <c r="BR145" s="1">
        <f t="shared" si="124"/>
        <v>7.093386991255908</v>
      </c>
      <c r="BS145" s="1">
        <f t="shared" si="125"/>
        <v>0</v>
      </c>
      <c r="BT145" s="1">
        <f t="shared" si="126"/>
        <v>16.989371182757026</v>
      </c>
      <c r="BU145" s="1">
        <f t="shared" si="127"/>
        <v>112.644530260416</v>
      </c>
      <c r="BV145" s="1">
        <f t="shared" si="128"/>
        <v>57.89928855385383</v>
      </c>
      <c r="BW145" s="1">
        <f t="shared" si="129"/>
        <v>222.02236914327995</v>
      </c>
      <c r="BX145" s="1">
        <f t="shared" si="130"/>
        <v>68.391321943824</v>
      </c>
      <c r="BY145" s="1">
        <f t="shared" si="131"/>
        <v>29.339877113900492</v>
      </c>
      <c r="BZ145" s="1">
        <f t="shared" si="132"/>
        <v>166.12252100154848</v>
      </c>
      <c r="CA145" s="1">
        <f t="shared" si="133"/>
        <v>386.06177093879825</v>
      </c>
      <c r="CB145" s="1">
        <f t="shared" si="134"/>
        <v>279.8621869824</v>
      </c>
      <c r="CC145" s="1">
        <f t="shared" si="135"/>
        <v>1115.534803068193</v>
      </c>
      <c r="CD145" s="1">
        <f t="shared" si="149"/>
        <v>3376.537285942655</v>
      </c>
      <c r="CE145" s="1">
        <f t="shared" si="150"/>
        <v>1688.2686429713276</v>
      </c>
      <c r="CF145" s="1">
        <f t="shared" si="151"/>
        <v>7827.427344685247</v>
      </c>
      <c r="CG145" t="s">
        <v>148</v>
      </c>
      <c r="CH145" s="9" t="s">
        <v>226</v>
      </c>
      <c r="CI145" s="1">
        <v>22338</v>
      </c>
      <c r="CJ145" s="102">
        <v>1.435574</v>
      </c>
      <c r="CK145" s="1">
        <v>5.68529</v>
      </c>
      <c r="CL145" s="1">
        <f t="shared" si="136"/>
        <v>7.120864</v>
      </c>
      <c r="CM145" s="1">
        <v>1.31917610810811</v>
      </c>
      <c r="CN145" s="1">
        <v>5.95737910642534</v>
      </c>
      <c r="CO145" s="1">
        <f t="shared" si="137"/>
        <v>7.27655521453345</v>
      </c>
      <c r="CP145" s="1">
        <f t="shared" si="152"/>
        <v>2.398352598710225</v>
      </c>
      <c r="CQ145" s="1">
        <f t="shared" si="153"/>
        <v>1.2697588849360868</v>
      </c>
      <c r="CR145" s="1">
        <f t="shared" si="154"/>
        <v>3.3151985557414396</v>
      </c>
      <c r="CS145" s="1">
        <f t="shared" si="155"/>
        <v>0.551959970134144</v>
      </c>
      <c r="CT145" s="1">
        <f t="shared" si="156"/>
        <v>0.06823892574153517</v>
      </c>
      <c r="CU145" s="1">
        <f t="shared" si="157"/>
        <v>1.0657414412644257</v>
      </c>
    </row>
    <row r="146" spans="1:99" ht="12.75">
      <c r="A146" t="s">
        <v>149</v>
      </c>
      <c r="B146" s="1">
        <v>79962</v>
      </c>
      <c r="C146" s="9" t="s">
        <v>132</v>
      </c>
      <c r="D146" s="122">
        <v>12</v>
      </c>
      <c r="E146" s="122">
        <v>13</v>
      </c>
      <c r="F146" s="122">
        <v>26</v>
      </c>
      <c r="G146" s="122">
        <v>92</v>
      </c>
      <c r="H146" s="107">
        <v>7</v>
      </c>
      <c r="I146" s="1">
        <f t="shared" si="158"/>
        <v>9595.44</v>
      </c>
      <c r="J146" s="1">
        <f t="shared" si="159"/>
        <v>10395.06</v>
      </c>
      <c r="K146" s="1">
        <f t="shared" si="160"/>
        <v>20790.12</v>
      </c>
      <c r="L146" s="1">
        <f t="shared" si="161"/>
        <v>73565.04</v>
      </c>
      <c r="M146" s="1">
        <f t="shared" si="162"/>
        <v>5597.34</v>
      </c>
      <c r="N146" s="12">
        <f t="shared" si="138"/>
        <v>-0.07912000000000002</v>
      </c>
      <c r="O146" s="12">
        <f t="shared" si="139"/>
        <v>0.016760000000000004</v>
      </c>
      <c r="P146" s="12">
        <f t="shared" si="140"/>
        <v>-0.07970999999999998</v>
      </c>
      <c r="Q146" s="12">
        <f t="shared" si="141"/>
        <v>0.31856</v>
      </c>
      <c r="R146" s="12">
        <f t="shared" si="142"/>
        <v>-0.055241999999999986</v>
      </c>
      <c r="S146" s="1">
        <f t="shared" si="100"/>
        <v>19724.59116672</v>
      </c>
      <c r="T146" s="2">
        <f t="shared" si="163"/>
        <v>0.24667456000000001</v>
      </c>
      <c r="U146" s="1">
        <f t="shared" si="102"/>
        <v>2268.3279841728004</v>
      </c>
      <c r="V146" s="1">
        <f t="shared" si="103"/>
        <v>1380.7213816704002</v>
      </c>
      <c r="W146" s="1">
        <f t="shared" si="104"/>
        <v>690.3606908352001</v>
      </c>
      <c r="X146" s="1">
        <f t="shared" si="105"/>
        <v>3200.7632029632005</v>
      </c>
      <c r="Y146" s="1">
        <f t="shared" si="106"/>
        <v>290.3459819741184</v>
      </c>
      <c r="Z146" s="1">
        <f t="shared" si="107"/>
        <v>145.1729909870592</v>
      </c>
      <c r="AA146" s="1">
        <f t="shared" si="108"/>
        <v>673.0747763945471</v>
      </c>
      <c r="AB146" s="1">
        <f t="shared" si="109"/>
        <v>5508.813214359615</v>
      </c>
      <c r="AC146" s="1">
        <f t="shared" si="110"/>
        <v>2754.4066071798075</v>
      </c>
      <c r="AD146" s="1">
        <f t="shared" si="111"/>
        <v>12770.430633288199</v>
      </c>
      <c r="AE146" s="1">
        <f t="shared" si="112"/>
        <v>3260.590900454876</v>
      </c>
      <c r="AF146" s="1">
        <f t="shared" si="113"/>
        <v>1630.295450227438</v>
      </c>
      <c r="AG146" s="1">
        <f t="shared" si="114"/>
        <v>7558.642541963576</v>
      </c>
      <c r="AH146"/>
      <c r="AI146"/>
      <c r="AJ146"/>
      <c r="AK146"/>
      <c r="AL146"/>
      <c r="AM146"/>
      <c r="AN146"/>
      <c r="AP146" t="s">
        <v>149</v>
      </c>
      <c r="AQ146" s="9" t="s">
        <v>226</v>
      </c>
      <c r="AR146" s="1">
        <v>79962</v>
      </c>
      <c r="AS146" s="1">
        <v>19724.59116672</v>
      </c>
      <c r="AT146" s="1">
        <v>9862.29558336</v>
      </c>
      <c r="AU146" s="1">
        <v>45725.18861376</v>
      </c>
      <c r="AV146" s="1">
        <v>2268.3279841728004</v>
      </c>
      <c r="AW146" s="1">
        <v>1577.9672933376003</v>
      </c>
      <c r="AX146" s="1">
        <v>6509.115085017601</v>
      </c>
      <c r="AY146" s="1">
        <f t="shared" si="115"/>
        <v>415.1040211036225</v>
      </c>
      <c r="AZ146" s="1">
        <f t="shared" si="116"/>
        <v>242.65320657633353</v>
      </c>
      <c r="BA146" s="1">
        <f t="shared" si="117"/>
        <v>573.0095907314405</v>
      </c>
      <c r="BB146" s="1">
        <f t="shared" si="118"/>
        <v>131.56302308202243</v>
      </c>
      <c r="BC146" s="1">
        <f t="shared" si="119"/>
        <v>0</v>
      </c>
      <c r="BD146" s="1">
        <f t="shared" si="120"/>
        <v>315.10659658375187</v>
      </c>
      <c r="BE146" s="1">
        <f t="shared" si="170"/>
        <v>635.1318355683842</v>
      </c>
      <c r="BF146" s="1">
        <f t="shared" si="171"/>
        <v>326.45776348214946</v>
      </c>
      <c r="BG146" s="1">
        <f t="shared" si="172"/>
        <v>1251.8448479052854</v>
      </c>
      <c r="BH146" s="1">
        <f t="shared" si="173"/>
        <v>385.6157573093761</v>
      </c>
      <c r="BI146" s="1">
        <f t="shared" si="174"/>
        <v>165.42915988572233</v>
      </c>
      <c r="BJ146" s="1">
        <f t="shared" si="175"/>
        <v>936.6606745044744</v>
      </c>
      <c r="BL146" s="2">
        <v>0.79</v>
      </c>
      <c r="BM146" s="2">
        <v>0</v>
      </c>
      <c r="BO146" s="1">
        <f t="shared" si="121"/>
        <v>415.1040211036225</v>
      </c>
      <c r="BP146" s="1">
        <f t="shared" si="122"/>
        <v>242.65320657633353</v>
      </c>
      <c r="BQ146" s="1">
        <f t="shared" si="123"/>
        <v>573.0095907314405</v>
      </c>
      <c r="BR146" s="1">
        <f t="shared" si="124"/>
        <v>48.41519249418424</v>
      </c>
      <c r="BS146" s="1">
        <f t="shared" si="125"/>
        <v>0</v>
      </c>
      <c r="BT146" s="1">
        <f t="shared" si="126"/>
        <v>115.95922754282066</v>
      </c>
      <c r="BU146" s="1">
        <f t="shared" si="127"/>
        <v>635.1318355683842</v>
      </c>
      <c r="BV146" s="1">
        <f t="shared" si="128"/>
        <v>326.45776348214946</v>
      </c>
      <c r="BW146" s="1">
        <f t="shared" si="129"/>
        <v>1251.8448479052854</v>
      </c>
      <c r="BX146" s="1">
        <f t="shared" si="130"/>
        <v>385.6157573093761</v>
      </c>
      <c r="BY146" s="1">
        <f t="shared" si="131"/>
        <v>165.42915988572233</v>
      </c>
      <c r="BZ146" s="1">
        <f t="shared" si="132"/>
        <v>936.6606745044744</v>
      </c>
      <c r="CA146" s="1">
        <f t="shared" si="133"/>
        <v>2185.180153584962</v>
      </c>
      <c r="CB146" s="1">
        <f t="shared" si="134"/>
        <v>1577.9672933376003</v>
      </c>
      <c r="CC146" s="1">
        <f t="shared" si="135"/>
        <v>6309.96771597667</v>
      </c>
      <c r="CD146" s="1">
        <f aca="true" t="shared" si="176" ref="CD146:CD177">AS146-(AS146*BM146*0.07)-(AS146*BL146*0.04)</f>
        <v>19101.29408585165</v>
      </c>
      <c r="CE146" s="1">
        <f aca="true" t="shared" si="177" ref="CE146:CE177">AT146-(AT146*BM146*0.07)-(AT146*BL146*0.04)</f>
        <v>9550.647042925824</v>
      </c>
      <c r="CF146" s="1">
        <f aca="true" t="shared" si="178" ref="CF146:CF177">AU146-(AU146*BM146*0.07)-(AU146*BL146*0.04)</f>
        <v>44280.27265356518</v>
      </c>
      <c r="CG146" t="s">
        <v>149</v>
      </c>
      <c r="CH146" s="9" t="s">
        <v>226</v>
      </c>
      <c r="CI146" s="1">
        <v>79962</v>
      </c>
      <c r="CJ146" s="102">
        <v>24.76388</v>
      </c>
      <c r="CK146" s="1">
        <v>49.19339</v>
      </c>
      <c r="CL146" s="1">
        <f t="shared" si="136"/>
        <v>73.95727</v>
      </c>
      <c r="CM146" s="1">
        <v>21.2429491943128</v>
      </c>
      <c r="CN146" s="1">
        <v>37.9196987063476</v>
      </c>
      <c r="CO146" s="1">
        <f t="shared" si="137"/>
        <v>59.1626479006604</v>
      </c>
      <c r="CP146" s="1">
        <f aca="true" t="shared" si="179" ref="CP146:CP177">((0.3296-(0.3296*BM146*0.58))/(1-(0.3296*BM146*0.58)))*CO146</f>
        <v>19.50000874805767</v>
      </c>
      <c r="CQ146" s="1">
        <f aca="true" t="shared" si="180" ref="CQ146:CQ177">((0.1745-(0.1745*BM146*0.58))/(1-(0.1745*BM146*0.58)))*CO146</f>
        <v>10.32388205866524</v>
      </c>
      <c r="CR146" s="1">
        <f aca="true" t="shared" si="181" ref="CR146:CR177">((0.4556-(0.4556*BM146*0.58))/(1-(0.4556*BM146*0.58)))*CO146</f>
        <v>26.95450238354088</v>
      </c>
      <c r="CS146" s="1">
        <f aca="true" t="shared" si="182" ref="CS146:CS177">((0.2126-(0.2126*BL146*0.8))/(1-(0.2126*BL146*0.8)))*CO146</f>
        <v>5.347157435167252</v>
      </c>
      <c r="CT146" s="1">
        <f aca="true" t="shared" si="183" ref="CT146:CT177">((0.0302-(0.0302*BL146*0.8))/(1-(0.0302*BL146*0.8)))*CO146</f>
        <v>0.6703036880198004</v>
      </c>
      <c r="CU146" s="1">
        <f aca="true" t="shared" si="184" ref="CU146:CU177">((0.3608-(0.3608*BL146*0.8))/(1-(0.3608*BL146*0.8)))*CO146</f>
        <v>10.175577166058154</v>
      </c>
    </row>
    <row r="147" spans="1:99" ht="12.75">
      <c r="A147" t="s">
        <v>150</v>
      </c>
      <c r="B147" s="1">
        <v>13792</v>
      </c>
      <c r="C147" s="9" t="s">
        <v>132</v>
      </c>
      <c r="D147" s="107">
        <v>12.5</v>
      </c>
      <c r="E147" s="122">
        <v>3</v>
      </c>
      <c r="F147" s="107">
        <v>54.5</v>
      </c>
      <c r="G147" s="122">
        <v>41</v>
      </c>
      <c r="H147" s="107">
        <v>7</v>
      </c>
      <c r="I147" s="1">
        <f t="shared" si="158"/>
        <v>1724</v>
      </c>
      <c r="J147" s="1">
        <f t="shared" si="159"/>
        <v>413.76</v>
      </c>
      <c r="K147" s="1">
        <f t="shared" si="160"/>
        <v>7516.64</v>
      </c>
      <c r="L147" s="1">
        <f t="shared" si="161"/>
        <v>5654.72</v>
      </c>
      <c r="M147" s="1">
        <f t="shared" si="162"/>
        <v>965.44</v>
      </c>
      <c r="N147" s="12">
        <f t="shared" si="138"/>
        <v>-0.07512000000000002</v>
      </c>
      <c r="O147" s="12">
        <f t="shared" si="139"/>
        <v>-0.02324</v>
      </c>
      <c r="P147" s="12">
        <f t="shared" si="140"/>
        <v>0.005790000000000029</v>
      </c>
      <c r="Q147" s="12">
        <f t="shared" si="141"/>
        <v>-0.08944000000000006</v>
      </c>
      <c r="R147" s="12">
        <f t="shared" si="142"/>
        <v>-0.055241999999999986</v>
      </c>
      <c r="S147" s="1">
        <f>(1+N147+O147+P147+Q147+R147)*0.22*B147</f>
        <v>2314.3604915199994</v>
      </c>
      <c r="T147" s="2">
        <f t="shared" si="163"/>
        <v>0.16780455999999996</v>
      </c>
      <c r="U147" s="1">
        <f>S147*0.115</f>
        <v>266.1514565247999</v>
      </c>
      <c r="V147" s="1">
        <f aca="true" t="shared" si="185" ref="V147:V209">AS147*0.07-(AS147*0.07*BM147*0.58)</f>
        <v>162.00523440639998</v>
      </c>
      <c r="W147" s="1">
        <f aca="true" t="shared" si="186" ref="W147:W209">AT147*0.07-(AT147*0.07*BM147*0.58)</f>
        <v>81.00261720319999</v>
      </c>
      <c r="X147" s="1">
        <f aca="true" t="shared" si="187" ref="X147:X209">AU147*0.07-(AU147*0.07*BM147*0.58)</f>
        <v>375.5575888512</v>
      </c>
      <c r="Y147" s="1">
        <f aca="true" t="shared" si="188" ref="Y147:Y209">AS147*0.04-(AS147*0.04*BL147*0.8)</f>
        <v>19.255479289446384</v>
      </c>
      <c r="Z147" s="1">
        <f aca="true" t="shared" si="189" ref="Z147:Z209">AT147*0.04-(AT147*0.04*BL147*0.8)</f>
        <v>9.627739644723192</v>
      </c>
      <c r="AA147" s="1">
        <f aca="true" t="shared" si="190" ref="AA147:AA209">AU147*0.04-(AU147*0.04*BL147*0.8)</f>
        <v>44.63770198917118</v>
      </c>
      <c r="AB147" s="1">
        <f aca="true" t="shared" si="191" ref="AB147:AD150">CD147*0.2884</f>
        <v>641.0300877504949</v>
      </c>
      <c r="AC147" s="1">
        <f t="shared" si="191"/>
        <v>320.51504387524744</v>
      </c>
      <c r="AD147" s="1">
        <f t="shared" si="191"/>
        <v>1486.0242943306928</v>
      </c>
      <c r="AE147" s="1">
        <f aca="true" t="shared" si="192" ref="AE147:AG150">CD147*0.1707</f>
        <v>379.4169070007263</v>
      </c>
      <c r="AF147" s="1">
        <f t="shared" si="192"/>
        <v>189.70845350036316</v>
      </c>
      <c r="AG147" s="1">
        <f t="shared" si="192"/>
        <v>879.5573753198656</v>
      </c>
      <c r="AH147"/>
      <c r="AI147"/>
      <c r="AJ147"/>
      <c r="AK147"/>
      <c r="AL147"/>
      <c r="AM147"/>
      <c r="AN147"/>
      <c r="AP147" t="s">
        <v>150</v>
      </c>
      <c r="AQ147" s="9" t="s">
        <v>226</v>
      </c>
      <c r="AR147" s="1">
        <v>13792</v>
      </c>
      <c r="AS147" s="1">
        <v>2314.3604915199994</v>
      </c>
      <c r="AT147" s="1">
        <v>1157.1802457599997</v>
      </c>
      <c r="AU147" s="1">
        <v>5365.10841216</v>
      </c>
      <c r="AV147" s="1">
        <v>266.1514565247999</v>
      </c>
      <c r="AW147" s="1">
        <v>185.14883932159995</v>
      </c>
      <c r="AX147" s="1">
        <v>763.7389622015999</v>
      </c>
      <c r="AY147" s="1">
        <f aca="true" t="shared" si="193" ref="AY147:AY209">AV147*0.183</f>
        <v>48.70571654403839</v>
      </c>
      <c r="AZ147" s="1">
        <f aca="true" t="shared" si="194" ref="AZ147:AZ209">AY147*0.58456</f>
        <v>28.47141366298308</v>
      </c>
      <c r="BA147" s="1">
        <f aca="true" t="shared" si="195" ref="BA147:BA209">AY147*1.3804</f>
        <v>67.23337111739059</v>
      </c>
      <c r="BB147" s="1">
        <f aca="true" t="shared" si="196" ref="BB147:BB209">AV147*0.058</f>
        <v>15.436784478438396</v>
      </c>
      <c r="BC147" s="1">
        <f aca="true" t="shared" si="197" ref="BC147:BC209">BB147*0</f>
        <v>0</v>
      </c>
      <c r="BD147" s="1">
        <f aca="true" t="shared" si="198" ref="BD147:BD209">BB147*2.3951</f>
        <v>36.9726425043078</v>
      </c>
      <c r="BE147" s="1">
        <f t="shared" si="170"/>
        <v>74.52240782694399</v>
      </c>
      <c r="BF147" s="1">
        <f t="shared" si="171"/>
        <v>38.304517623049215</v>
      </c>
      <c r="BG147" s="1">
        <f t="shared" si="172"/>
        <v>146.88366582690662</v>
      </c>
      <c r="BH147" s="1">
        <f t="shared" si="173"/>
        <v>45.24574760921599</v>
      </c>
      <c r="BI147" s="1">
        <f t="shared" si="174"/>
        <v>19.410425724353658</v>
      </c>
      <c r="BJ147" s="1">
        <f t="shared" si="175"/>
        <v>109.90192094278564</v>
      </c>
      <c r="BL147" s="2">
        <v>0.99</v>
      </c>
      <c r="BM147" s="2">
        <v>0</v>
      </c>
      <c r="BO147" s="1">
        <f aca="true" t="shared" si="199" ref="BO147:BO209">AY147-(AY147*BM147*0.58)</f>
        <v>48.70571654403839</v>
      </c>
      <c r="BP147" s="1">
        <f aca="true" t="shared" si="200" ref="BP147:BP209">AZ147-(AZ147*BM147*0.58)</f>
        <v>28.47141366298308</v>
      </c>
      <c r="BQ147" s="1">
        <f aca="true" t="shared" si="201" ref="BQ147:BQ209">BA147-(BA147*BM147*0.58)</f>
        <v>67.23337111739059</v>
      </c>
      <c r="BR147" s="1">
        <f aca="true" t="shared" si="202" ref="BR147:BR209">BB147-(BB147*BL147*0.8)</f>
        <v>3.210851171515186</v>
      </c>
      <c r="BS147" s="1">
        <f aca="true" t="shared" si="203" ref="BS147:BS209">BC147-(BC147*BL147*0.8)</f>
        <v>0</v>
      </c>
      <c r="BT147" s="1">
        <f aca="true" t="shared" si="204" ref="BT147:BT209">BD147-(BD147*BL147*0.8)</f>
        <v>7.690309640896018</v>
      </c>
      <c r="BU147" s="1">
        <f aca="true" t="shared" si="205" ref="BU147:BU209">BE147</f>
        <v>74.52240782694399</v>
      </c>
      <c r="BV147" s="1">
        <f aca="true" t="shared" si="206" ref="BV147:BV209">BF147</f>
        <v>38.304517623049215</v>
      </c>
      <c r="BW147" s="1">
        <f aca="true" t="shared" si="207" ref="BW147:BW209">BG147</f>
        <v>146.88366582690662</v>
      </c>
      <c r="BX147" s="1">
        <f aca="true" t="shared" si="208" ref="BX147:BX209">BH147</f>
        <v>45.24574760921599</v>
      </c>
      <c r="BY147" s="1">
        <f aca="true" t="shared" si="209" ref="BY147:BY209">BI147</f>
        <v>19.410425724353658</v>
      </c>
      <c r="BZ147" s="1">
        <f aca="true" t="shared" si="210" ref="BZ147:BZ209">BJ147</f>
        <v>109.90192094278564</v>
      </c>
      <c r="CA147" s="1">
        <f aca="true" t="shared" si="211" ref="CA147:CA209">AV147-(AY147-BO147)-(BB147-BR147)</f>
        <v>253.92552321787673</v>
      </c>
      <c r="CB147" s="1">
        <f aca="true" t="shared" si="212" ref="CB147:CB209">AW147-(AZ147-BP147)-(BC147-BS147)</f>
        <v>185.14883932159995</v>
      </c>
      <c r="CC147" s="1">
        <f aca="true" t="shared" si="213" ref="CC147:CC209">AX147-(BA147-BQ147)-(BD147-BT147)</f>
        <v>734.4566293381881</v>
      </c>
      <c r="CD147" s="1">
        <f t="shared" si="176"/>
        <v>2222.7118160558075</v>
      </c>
      <c r="CE147" s="1">
        <f t="shared" si="177"/>
        <v>1111.3559080279038</v>
      </c>
      <c r="CF147" s="1">
        <f t="shared" si="178"/>
        <v>5152.650119038463</v>
      </c>
      <c r="CG147" t="s">
        <v>150</v>
      </c>
      <c r="CH147" s="9" t="s">
        <v>226</v>
      </c>
      <c r="CI147" s="1">
        <v>13792</v>
      </c>
      <c r="CJ147" s="102">
        <v>0.7205514</v>
      </c>
      <c r="CK147" s="1">
        <v>3.312839</v>
      </c>
      <c r="CL147" s="1">
        <f aca="true" t="shared" si="214" ref="CL147:CL209">CJ147+CK147</f>
        <v>4.0333904</v>
      </c>
      <c r="CM147" s="1">
        <v>0.7205514</v>
      </c>
      <c r="CN147" s="1">
        <v>3.16225540909091</v>
      </c>
      <c r="CO147" s="1">
        <f aca="true" t="shared" si="215" ref="CO147:CO210">CM147+CN147</f>
        <v>3.8828068090909102</v>
      </c>
      <c r="CP147" s="1">
        <f t="shared" si="179"/>
        <v>1.2797731242763641</v>
      </c>
      <c r="CQ147" s="1">
        <f t="shared" si="180"/>
        <v>0.6775497881863638</v>
      </c>
      <c r="CR147" s="1">
        <f t="shared" si="181"/>
        <v>1.7690067822218187</v>
      </c>
      <c r="CS147" s="1">
        <f t="shared" si="182"/>
        <v>0.20646528242613368</v>
      </c>
      <c r="CT147" s="1">
        <f t="shared" si="183"/>
        <v>0.02498791008045378</v>
      </c>
      <c r="CU147" s="1">
        <f t="shared" si="184"/>
        <v>0.40796939672045973</v>
      </c>
    </row>
    <row r="148" spans="1:99" ht="12.75">
      <c r="A148" t="s">
        <v>151</v>
      </c>
      <c r="B148" s="1">
        <v>1015.299995391068</v>
      </c>
      <c r="C148" s="9" t="s">
        <v>132</v>
      </c>
      <c r="D148" s="122">
        <v>1.6</v>
      </c>
      <c r="E148" s="122">
        <v>5</v>
      </c>
      <c r="F148" s="122">
        <v>65</v>
      </c>
      <c r="G148" s="122">
        <v>25</v>
      </c>
      <c r="H148" s="107">
        <v>7</v>
      </c>
      <c r="I148" s="1">
        <f>(B148*D148)/100</f>
        <v>16.24479992625709</v>
      </c>
      <c r="J148" s="1">
        <f>(B148*E148)/100</f>
        <v>50.7649997695534</v>
      </c>
      <c r="K148" s="1">
        <f>(B148*F148)/100</f>
        <v>659.9449970041942</v>
      </c>
      <c r="L148" s="1">
        <f>(B148*G148)/100</f>
        <v>253.824998847767</v>
      </c>
      <c r="M148" s="1">
        <f>(B148*H148)/100</f>
        <v>71.07099967737477</v>
      </c>
      <c r="N148" s="12">
        <f>((D148/100)-0.2189)*0.8</f>
        <v>-0.16232000000000002</v>
      </c>
      <c r="O148" s="12">
        <f>((E148/100)-0.0881)*0.4</f>
        <v>-0.015239999999999998</v>
      </c>
      <c r="P148" s="12">
        <f>((F148/100)-0.5257)*0.3</f>
        <v>0.037290000000000025</v>
      </c>
      <c r="Q148" s="12">
        <f>((G148/100)-0.5218)*0.8</f>
        <v>-0.21744000000000005</v>
      </c>
      <c r="R148" s="12">
        <f>((H148/100)-0.1258)*0.99</f>
        <v>-0.055241999999999986</v>
      </c>
      <c r="S148" s="1">
        <f>(1+N148+O148+P148+Q148+R148)*0.22*B148</f>
        <v>131.12656297275382</v>
      </c>
      <c r="T148" s="2">
        <f>S148/B148</f>
        <v>0.12915055999999997</v>
      </c>
      <c r="U148" s="1">
        <f>S148*0.115</f>
        <v>15.079554741866689</v>
      </c>
      <c r="V148" s="1">
        <f t="shared" si="185"/>
        <v>9.178859408092768</v>
      </c>
      <c r="W148" s="1">
        <f t="shared" si="186"/>
        <v>4.589429704046384</v>
      </c>
      <c r="X148" s="1">
        <f t="shared" si="187"/>
        <v>21.27826499148778</v>
      </c>
      <c r="Y148" s="1">
        <f t="shared" si="188"/>
        <v>1.5105780054461242</v>
      </c>
      <c r="Z148" s="1">
        <f t="shared" si="189"/>
        <v>0.7552890027230621</v>
      </c>
      <c r="AA148" s="1">
        <f t="shared" si="190"/>
        <v>3.5017944671705603</v>
      </c>
      <c r="AB148" s="1">
        <f t="shared" si="191"/>
        <v>36.470619094238415</v>
      </c>
      <c r="AC148" s="1">
        <f t="shared" si="191"/>
        <v>18.235309547119208</v>
      </c>
      <c r="AD148" s="1">
        <f t="shared" si="191"/>
        <v>84.54552608209816</v>
      </c>
      <c r="AE148" s="1">
        <f t="shared" si="192"/>
        <v>21.586458666388687</v>
      </c>
      <c r="AF148" s="1">
        <f t="shared" si="192"/>
        <v>10.793229333194343</v>
      </c>
      <c r="AG148" s="1">
        <f t="shared" si="192"/>
        <v>50.0413359993556</v>
      </c>
      <c r="AH148"/>
      <c r="AI148"/>
      <c r="AJ148"/>
      <c r="AK148"/>
      <c r="AL148"/>
      <c r="AM148"/>
      <c r="AN148"/>
      <c r="AP148" t="s">
        <v>151</v>
      </c>
      <c r="AQ148" s="9" t="s">
        <v>226</v>
      </c>
      <c r="AR148" s="1">
        <v>1015.299995391068</v>
      </c>
      <c r="AS148" s="1">
        <v>131.12656297275382</v>
      </c>
      <c r="AT148" s="1">
        <v>65.56328148637691</v>
      </c>
      <c r="AU148" s="1">
        <v>303.97521416411115</v>
      </c>
      <c r="AV148" s="1">
        <v>15.079554741866689</v>
      </c>
      <c r="AW148" s="1">
        <v>10.490125037820306</v>
      </c>
      <c r="AX148" s="1">
        <v>43.27176578100876</v>
      </c>
      <c r="AY148" s="1">
        <f t="shared" si="193"/>
        <v>2.759558517761604</v>
      </c>
      <c r="AZ148" s="1">
        <f t="shared" si="194"/>
        <v>1.6131275271427232</v>
      </c>
      <c r="BA148" s="1">
        <f t="shared" si="195"/>
        <v>3.809294577918118</v>
      </c>
      <c r="BB148" s="1">
        <f t="shared" si="196"/>
        <v>0.874614175028268</v>
      </c>
      <c r="BC148" s="1">
        <f t="shared" si="197"/>
        <v>0</v>
      </c>
      <c r="BD148" s="1">
        <f t="shared" si="198"/>
        <v>2.0947884106102044</v>
      </c>
      <c r="BE148" s="1">
        <f t="shared" si="170"/>
        <v>4.222275327722674</v>
      </c>
      <c r="BF148" s="1">
        <f t="shared" si="171"/>
        <v>2.170249518449454</v>
      </c>
      <c r="BG148" s="1">
        <f t="shared" si="172"/>
        <v>8.32210467094139</v>
      </c>
      <c r="BH148" s="1">
        <f t="shared" si="173"/>
        <v>2.5635243061173374</v>
      </c>
      <c r="BI148" s="1">
        <f t="shared" si="174"/>
        <v>1.0997519273243377</v>
      </c>
      <c r="BJ148" s="1">
        <f t="shared" si="175"/>
        <v>6.2268005395590125</v>
      </c>
      <c r="BL148" s="2">
        <v>0.89</v>
      </c>
      <c r="BM148" s="2">
        <v>0</v>
      </c>
      <c r="BO148" s="1">
        <f t="shared" si="199"/>
        <v>2.759558517761604</v>
      </c>
      <c r="BP148" s="1">
        <f t="shared" si="200"/>
        <v>1.6131275271427232</v>
      </c>
      <c r="BQ148" s="1">
        <f t="shared" si="201"/>
        <v>3.809294577918118</v>
      </c>
      <c r="BR148" s="1">
        <f t="shared" si="202"/>
        <v>0.2518888824081411</v>
      </c>
      <c r="BS148" s="1">
        <f t="shared" si="203"/>
        <v>0</v>
      </c>
      <c r="BT148" s="1">
        <f t="shared" si="204"/>
        <v>0.6032990622557386</v>
      </c>
      <c r="BU148" s="1">
        <f t="shared" si="205"/>
        <v>4.222275327722674</v>
      </c>
      <c r="BV148" s="1">
        <f t="shared" si="206"/>
        <v>2.170249518449454</v>
      </c>
      <c r="BW148" s="1">
        <f t="shared" si="207"/>
        <v>8.32210467094139</v>
      </c>
      <c r="BX148" s="1">
        <f t="shared" si="208"/>
        <v>2.5635243061173374</v>
      </c>
      <c r="BY148" s="1">
        <f t="shared" si="209"/>
        <v>1.0997519273243377</v>
      </c>
      <c r="BZ148" s="1">
        <f t="shared" si="210"/>
        <v>6.2268005395590125</v>
      </c>
      <c r="CA148" s="1">
        <f t="shared" si="211"/>
        <v>14.456829449246563</v>
      </c>
      <c r="CB148" s="1">
        <f t="shared" si="212"/>
        <v>10.490125037820306</v>
      </c>
      <c r="CC148" s="1">
        <f t="shared" si="213"/>
        <v>41.7802764326543</v>
      </c>
      <c r="CD148" s="1">
        <f t="shared" si="176"/>
        <v>126.45845733092378</v>
      </c>
      <c r="CE148" s="1">
        <f t="shared" si="177"/>
        <v>63.22922866546189</v>
      </c>
      <c r="CF148" s="1">
        <f t="shared" si="178"/>
        <v>293.1536965398688</v>
      </c>
      <c r="CG148" t="s">
        <v>151</v>
      </c>
      <c r="CH148" s="9" t="s">
        <v>226</v>
      </c>
      <c r="CI148" s="1">
        <v>1015.299995391068</v>
      </c>
      <c r="CJ148" s="102">
        <v>0.0626421</v>
      </c>
      <c r="CK148" s="1">
        <v>0.5567834</v>
      </c>
      <c r="CL148" s="1">
        <f t="shared" si="214"/>
        <v>0.6194255000000001</v>
      </c>
      <c r="CM148" s="1">
        <v>0.0626421</v>
      </c>
      <c r="CN148" s="1">
        <v>0.417483179205199</v>
      </c>
      <c r="CO148" s="1">
        <f t="shared" si="215"/>
        <v>0.480125279205199</v>
      </c>
      <c r="CP148" s="1">
        <f t="shared" si="179"/>
        <v>0.15824929202603358</v>
      </c>
      <c r="CQ148" s="1">
        <f t="shared" si="180"/>
        <v>0.08378186122130722</v>
      </c>
      <c r="CR148" s="1">
        <f t="shared" si="181"/>
        <v>0.21874507720588865</v>
      </c>
      <c r="CS148" s="1">
        <f t="shared" si="182"/>
        <v>0.03464117019761676</v>
      </c>
      <c r="CT148" s="1">
        <f t="shared" si="183"/>
        <v>0.004267703496069012</v>
      </c>
      <c r="CU148" s="1">
        <f t="shared" si="184"/>
        <v>0.06713674012949343</v>
      </c>
    </row>
    <row r="149" spans="1:99" ht="12.75">
      <c r="A149" t="s">
        <v>152</v>
      </c>
      <c r="B149" s="1">
        <v>33152</v>
      </c>
      <c r="C149" s="9" t="s">
        <v>132</v>
      </c>
      <c r="D149" s="122">
        <v>10.6</v>
      </c>
      <c r="E149" s="122">
        <v>10</v>
      </c>
      <c r="F149" s="122">
        <v>60</v>
      </c>
      <c r="G149" s="122">
        <v>85</v>
      </c>
      <c r="H149" s="107">
        <v>7</v>
      </c>
      <c r="I149" s="1">
        <f>(B149*D149)/100</f>
        <v>3514.112</v>
      </c>
      <c r="J149" s="1">
        <f>(B149*E149)/100</f>
        <v>3315.2</v>
      </c>
      <c r="K149" s="1">
        <f>(B149*F149)/100</f>
        <v>19891.2</v>
      </c>
      <c r="L149" s="1">
        <f>(B149*G149)/100</f>
        <v>28179.2</v>
      </c>
      <c r="M149" s="1">
        <f>(B149*H149)/100</f>
        <v>2320.64</v>
      </c>
      <c r="N149" s="12">
        <f>((D149/100)-0.2189)*0.8</f>
        <v>-0.09032000000000001</v>
      </c>
      <c r="O149" s="12">
        <f>((E149/100)-0.0881)*0.4</f>
        <v>0.004760000000000004</v>
      </c>
      <c r="P149" s="12">
        <f>((F149/100)-0.5257)*0.3</f>
        <v>0.022290000000000008</v>
      </c>
      <c r="Q149" s="12">
        <f>((G149/100)-0.5218)*0.8</f>
        <v>0.26255999999999996</v>
      </c>
      <c r="R149" s="12">
        <f>((H149/100)-0.1258)*0.99</f>
        <v>-0.055241999999999986</v>
      </c>
      <c r="S149" s="1">
        <f>(1+N149+O149+P149+Q149+R149)*0.22*B149</f>
        <v>8344.04544512</v>
      </c>
      <c r="T149" s="2">
        <f>S149/B149</f>
        <v>0.25169056</v>
      </c>
      <c r="U149" s="1">
        <f>S149*0.115</f>
        <v>959.5652261888001</v>
      </c>
      <c r="V149" s="1">
        <f t="shared" si="185"/>
        <v>584.0831811584001</v>
      </c>
      <c r="W149" s="1">
        <f t="shared" si="186"/>
        <v>292.04159057920003</v>
      </c>
      <c r="X149" s="1">
        <f t="shared" si="187"/>
        <v>1354.0110108672002</v>
      </c>
      <c r="Y149" s="1">
        <f t="shared" si="188"/>
        <v>333.76181780480005</v>
      </c>
      <c r="Z149" s="1">
        <f t="shared" si="189"/>
        <v>166.88090890240002</v>
      </c>
      <c r="AA149" s="1">
        <f t="shared" si="190"/>
        <v>773.7205776384</v>
      </c>
      <c r="AB149" s="1">
        <f t="shared" si="191"/>
        <v>2406.422706372608</v>
      </c>
      <c r="AC149" s="1">
        <f t="shared" si="191"/>
        <v>1203.211353186304</v>
      </c>
      <c r="AD149" s="1">
        <f t="shared" si="191"/>
        <v>5578.525364772864</v>
      </c>
      <c r="AE149" s="1">
        <f t="shared" si="192"/>
        <v>1424.328557481984</v>
      </c>
      <c r="AF149" s="1">
        <f t="shared" si="192"/>
        <v>712.164278740992</v>
      </c>
      <c r="AG149" s="1">
        <f t="shared" si="192"/>
        <v>3301.8525650718716</v>
      </c>
      <c r="AH149"/>
      <c r="AI149"/>
      <c r="AJ149"/>
      <c r="AK149"/>
      <c r="AL149"/>
      <c r="AM149"/>
      <c r="AN149"/>
      <c r="AP149" t="s">
        <v>152</v>
      </c>
      <c r="AQ149" s="9" t="s">
        <v>226</v>
      </c>
      <c r="AR149" s="1">
        <v>33152</v>
      </c>
      <c r="AS149" s="1">
        <v>8344.04544512</v>
      </c>
      <c r="AT149" s="1">
        <v>4172.02272256</v>
      </c>
      <c r="AU149" s="1">
        <v>19343.01444096</v>
      </c>
      <c r="AV149" s="1">
        <v>959.5652261888001</v>
      </c>
      <c r="AW149" s="1">
        <v>667.5236356096001</v>
      </c>
      <c r="AX149" s="1">
        <v>2753.5349968896003</v>
      </c>
      <c r="AY149" s="1">
        <f t="shared" si="193"/>
        <v>175.60043639255042</v>
      </c>
      <c r="AZ149" s="1">
        <f t="shared" si="194"/>
        <v>102.64899109762926</v>
      </c>
      <c r="BA149" s="1">
        <f t="shared" si="195"/>
        <v>242.39884239627662</v>
      </c>
      <c r="BB149" s="1">
        <f t="shared" si="196"/>
        <v>55.65478311895041</v>
      </c>
      <c r="BC149" s="1">
        <f t="shared" si="197"/>
        <v>0</v>
      </c>
      <c r="BD149" s="1">
        <f t="shared" si="198"/>
        <v>133.29877104819812</v>
      </c>
      <c r="BE149" s="1">
        <f t="shared" si="170"/>
        <v>268.67826333286405</v>
      </c>
      <c r="BF149" s="1">
        <f t="shared" si="171"/>
        <v>138.10062735309214</v>
      </c>
      <c r="BG149" s="1">
        <f t="shared" si="172"/>
        <v>529.564857029075</v>
      </c>
      <c r="BH149" s="1">
        <f t="shared" si="173"/>
        <v>163.12608845209604</v>
      </c>
      <c r="BI149" s="1">
        <f t="shared" si="174"/>
        <v>69.9810919459492</v>
      </c>
      <c r="BJ149" s="1">
        <f t="shared" si="175"/>
        <v>396.23326885014126</v>
      </c>
      <c r="BL149" s="2">
        <v>0</v>
      </c>
      <c r="BM149" s="2">
        <v>0</v>
      </c>
      <c r="BO149" s="1">
        <f t="shared" si="199"/>
        <v>175.60043639255042</v>
      </c>
      <c r="BP149" s="1">
        <f t="shared" si="200"/>
        <v>102.64899109762926</v>
      </c>
      <c r="BQ149" s="1">
        <f t="shared" si="201"/>
        <v>242.39884239627662</v>
      </c>
      <c r="BR149" s="1">
        <f t="shared" si="202"/>
        <v>55.65478311895041</v>
      </c>
      <c r="BS149" s="1">
        <f t="shared" si="203"/>
        <v>0</v>
      </c>
      <c r="BT149" s="1">
        <f t="shared" si="204"/>
        <v>133.29877104819812</v>
      </c>
      <c r="BU149" s="1">
        <f t="shared" si="205"/>
        <v>268.67826333286405</v>
      </c>
      <c r="BV149" s="1">
        <f t="shared" si="206"/>
        <v>138.10062735309214</v>
      </c>
      <c r="BW149" s="1">
        <f t="shared" si="207"/>
        <v>529.564857029075</v>
      </c>
      <c r="BX149" s="1">
        <f t="shared" si="208"/>
        <v>163.12608845209604</v>
      </c>
      <c r="BY149" s="1">
        <f t="shared" si="209"/>
        <v>69.9810919459492</v>
      </c>
      <c r="BZ149" s="1">
        <f t="shared" si="210"/>
        <v>396.23326885014126</v>
      </c>
      <c r="CA149" s="1">
        <f t="shared" si="211"/>
        <v>959.5652261888001</v>
      </c>
      <c r="CB149" s="1">
        <f t="shared" si="212"/>
        <v>667.5236356096001</v>
      </c>
      <c r="CC149" s="1">
        <f t="shared" si="213"/>
        <v>2753.5349968896003</v>
      </c>
      <c r="CD149" s="1">
        <f t="shared" si="176"/>
        <v>8344.04544512</v>
      </c>
      <c r="CE149" s="1">
        <f t="shared" si="177"/>
        <v>4172.02272256</v>
      </c>
      <c r="CF149" s="1">
        <f t="shared" si="178"/>
        <v>19343.01444096</v>
      </c>
      <c r="CG149" t="s">
        <v>152</v>
      </c>
      <c r="CH149" s="9" t="s">
        <v>226</v>
      </c>
      <c r="CI149" s="1">
        <v>33152</v>
      </c>
      <c r="CJ149" s="102">
        <v>5.361039</v>
      </c>
      <c r="CK149" s="1">
        <v>3.726668</v>
      </c>
      <c r="CL149" s="1">
        <f t="shared" si="214"/>
        <v>9.087707</v>
      </c>
      <c r="CM149" s="1">
        <v>5.361039</v>
      </c>
      <c r="CN149" s="1">
        <v>3.4949879703583</v>
      </c>
      <c r="CO149" s="1">
        <f t="shared" si="215"/>
        <v>8.8560269703583</v>
      </c>
      <c r="CP149" s="1">
        <f t="shared" si="179"/>
        <v>2.918946489430096</v>
      </c>
      <c r="CQ149" s="1">
        <f t="shared" si="180"/>
        <v>1.5453767063275232</v>
      </c>
      <c r="CR149" s="1">
        <f t="shared" si="181"/>
        <v>4.034805887695241</v>
      </c>
      <c r="CS149" s="1">
        <f t="shared" si="182"/>
        <v>1.8827913338981748</v>
      </c>
      <c r="CT149" s="1">
        <f t="shared" si="183"/>
        <v>0.2674520145048207</v>
      </c>
      <c r="CU149" s="1">
        <f t="shared" si="184"/>
        <v>3.1952545309052747</v>
      </c>
    </row>
    <row r="150" spans="1:99" ht="12.75">
      <c r="A150" t="s">
        <v>153</v>
      </c>
      <c r="B150" s="1">
        <v>7185862</v>
      </c>
      <c r="C150" s="9" t="s">
        <v>132</v>
      </c>
      <c r="D150" s="122">
        <v>23</v>
      </c>
      <c r="E150" s="123">
        <v>5</v>
      </c>
      <c r="F150" s="123">
        <v>83</v>
      </c>
      <c r="G150" s="122">
        <v>66</v>
      </c>
      <c r="H150" s="125">
        <v>5.1</v>
      </c>
      <c r="I150" s="1">
        <f>(B150*D150)/100</f>
        <v>1652748.26</v>
      </c>
      <c r="J150" s="1">
        <f>(B150*E150)/100</f>
        <v>359293.1</v>
      </c>
      <c r="K150" s="1">
        <f>(B150*F150)/100</f>
        <v>5964265.46</v>
      </c>
      <c r="L150" s="1">
        <f>(B150*G150)/100</f>
        <v>4742668.92</v>
      </c>
      <c r="M150" s="1">
        <f>(B150*H150)/100</f>
        <v>366478.96199999994</v>
      </c>
      <c r="N150" s="12">
        <f>((D150/100)-0.2189)*0.8</f>
        <v>0.008879999999999999</v>
      </c>
      <c r="O150" s="12">
        <f>((E150/100)-0.0881)*0.4</f>
        <v>-0.015239999999999998</v>
      </c>
      <c r="P150" s="12">
        <f>((F150/100)-0.5257)*0.3</f>
        <v>0.09129</v>
      </c>
      <c r="Q150" s="12">
        <f>((G150/100)-0.5218)*0.8</f>
        <v>0.11055999999999999</v>
      </c>
      <c r="R150" s="12">
        <f>((H150/100)-0.1258)*0.99</f>
        <v>-0.074052</v>
      </c>
      <c r="S150" s="1">
        <f>(1+N150+O150+P150+Q150+R150)*0.22*B150</f>
        <v>1772869.71610232</v>
      </c>
      <c r="T150" s="2">
        <f>S150/B150</f>
        <v>0.24671636</v>
      </c>
      <c r="U150" s="1">
        <f>S150*0.115</f>
        <v>203880.01735176682</v>
      </c>
      <c r="V150" s="1">
        <f t="shared" si="185"/>
        <v>124100.88012716241</v>
      </c>
      <c r="W150" s="1">
        <f t="shared" si="186"/>
        <v>62050.440063581205</v>
      </c>
      <c r="X150" s="1">
        <f t="shared" si="187"/>
        <v>287688.4039311492</v>
      </c>
      <c r="Y150" s="1">
        <f t="shared" si="188"/>
        <v>35173.735167470026</v>
      </c>
      <c r="Z150" s="1">
        <f t="shared" si="189"/>
        <v>17586.867583735013</v>
      </c>
      <c r="AA150" s="1">
        <f t="shared" si="190"/>
        <v>81539.11334277141</v>
      </c>
      <c r="AB150" s="1">
        <f t="shared" si="191"/>
        <v>498410.9763455866</v>
      </c>
      <c r="AC150" s="1">
        <f t="shared" si="191"/>
        <v>249205.4881727933</v>
      </c>
      <c r="AD150" s="1">
        <f t="shared" si="191"/>
        <v>1155407.2633465868</v>
      </c>
      <c r="AE150" s="1">
        <f t="shared" si="192"/>
        <v>295002.61325309164</v>
      </c>
      <c r="AF150" s="1">
        <f t="shared" si="192"/>
        <v>147501.30662654582</v>
      </c>
      <c r="AG150" s="1">
        <f t="shared" si="192"/>
        <v>683869.6943594397</v>
      </c>
      <c r="AH150"/>
      <c r="AI150"/>
      <c r="AJ150"/>
      <c r="AK150"/>
      <c r="AL150"/>
      <c r="AM150"/>
      <c r="AN150"/>
      <c r="AO150" s="94"/>
      <c r="AP150" t="s">
        <v>153</v>
      </c>
      <c r="AQ150" s="9" t="s">
        <v>226</v>
      </c>
      <c r="AR150" s="1">
        <v>7185862</v>
      </c>
      <c r="AS150" s="1">
        <v>1772869.71610232</v>
      </c>
      <c r="AT150" s="1">
        <v>886434.85805116</v>
      </c>
      <c r="AU150" s="1">
        <v>4109834.3418735596</v>
      </c>
      <c r="AV150" s="1">
        <v>203880.01735176682</v>
      </c>
      <c r="AW150" s="1">
        <v>141829.5772881856</v>
      </c>
      <c r="AX150" s="1">
        <v>585047.0063137657</v>
      </c>
      <c r="AY150" s="1">
        <f t="shared" si="193"/>
        <v>37310.04317537333</v>
      </c>
      <c r="AZ150" s="1">
        <f t="shared" si="194"/>
        <v>21809.95883859623</v>
      </c>
      <c r="BA150" s="1">
        <f t="shared" si="195"/>
        <v>51502.78359928534</v>
      </c>
      <c r="BB150" s="1">
        <f t="shared" si="196"/>
        <v>11825.041006402476</v>
      </c>
      <c r="BC150" s="1">
        <f t="shared" si="197"/>
        <v>0</v>
      </c>
      <c r="BD150" s="1">
        <f t="shared" si="198"/>
        <v>28322.155714434568</v>
      </c>
      <c r="BE150" s="1">
        <f t="shared" si="170"/>
        <v>57086.404858494716</v>
      </c>
      <c r="BF150" s="1">
        <f t="shared" si="171"/>
        <v>29342.412097266286</v>
      </c>
      <c r="BG150" s="1">
        <f t="shared" si="172"/>
        <v>112517.30397609308</v>
      </c>
      <c r="BH150" s="1">
        <f t="shared" si="173"/>
        <v>34659.60294980036</v>
      </c>
      <c r="BI150" s="1">
        <f t="shared" si="174"/>
        <v>14868.969665464356</v>
      </c>
      <c r="BJ150" s="1">
        <f t="shared" si="175"/>
        <v>84188.17556506507</v>
      </c>
      <c r="BL150" s="2">
        <v>0.63</v>
      </c>
      <c r="BM150" s="2">
        <v>0</v>
      </c>
      <c r="BO150" s="1">
        <f t="shared" si="199"/>
        <v>37310.04317537333</v>
      </c>
      <c r="BP150" s="1">
        <f t="shared" si="200"/>
        <v>21809.95883859623</v>
      </c>
      <c r="BQ150" s="1">
        <f t="shared" si="201"/>
        <v>51502.78359928534</v>
      </c>
      <c r="BR150" s="1">
        <f t="shared" si="202"/>
        <v>5865.2203391756275</v>
      </c>
      <c r="BS150" s="1">
        <f t="shared" si="203"/>
        <v>0</v>
      </c>
      <c r="BT150" s="1">
        <f t="shared" si="204"/>
        <v>14047.789234359543</v>
      </c>
      <c r="BU150" s="1">
        <f t="shared" si="205"/>
        <v>57086.404858494716</v>
      </c>
      <c r="BV150" s="1">
        <f t="shared" si="206"/>
        <v>29342.412097266286</v>
      </c>
      <c r="BW150" s="1">
        <f t="shared" si="207"/>
        <v>112517.30397609308</v>
      </c>
      <c r="BX150" s="1">
        <f t="shared" si="208"/>
        <v>34659.60294980036</v>
      </c>
      <c r="BY150" s="1">
        <f t="shared" si="209"/>
        <v>14868.969665464356</v>
      </c>
      <c r="BZ150" s="1">
        <f t="shared" si="210"/>
        <v>84188.17556506507</v>
      </c>
      <c r="CA150" s="1">
        <f t="shared" si="211"/>
        <v>197920.19668453996</v>
      </c>
      <c r="CB150" s="1">
        <f t="shared" si="212"/>
        <v>141829.5772881856</v>
      </c>
      <c r="CC150" s="1">
        <f t="shared" si="213"/>
        <v>570772.6398336906</v>
      </c>
      <c r="CD150" s="1">
        <f t="shared" si="176"/>
        <v>1728193.3992565416</v>
      </c>
      <c r="CE150" s="1">
        <f t="shared" si="177"/>
        <v>864096.6996282708</v>
      </c>
      <c r="CF150" s="1">
        <f t="shared" si="178"/>
        <v>4006266.516458346</v>
      </c>
      <c r="CG150" t="s">
        <v>153</v>
      </c>
      <c r="CH150" s="9" t="s">
        <v>226</v>
      </c>
      <c r="CI150" s="1">
        <v>7185862</v>
      </c>
      <c r="CJ150" s="229">
        <v>762.0205</v>
      </c>
      <c r="CK150" s="230">
        <v>3360.438</v>
      </c>
      <c r="CL150" s="1">
        <f t="shared" si="214"/>
        <v>4122.4585</v>
      </c>
      <c r="CM150" s="230">
        <v>733.349584406215</v>
      </c>
      <c r="CN150" s="230">
        <v>2819.46197404306</v>
      </c>
      <c r="CO150" s="1">
        <f t="shared" si="215"/>
        <v>3552.811558449275</v>
      </c>
      <c r="CP150" s="1">
        <f t="shared" si="179"/>
        <v>1171.006689664881</v>
      </c>
      <c r="CQ150" s="1">
        <f t="shared" si="180"/>
        <v>619.9656169493984</v>
      </c>
      <c r="CR150" s="1">
        <f t="shared" si="181"/>
        <v>1618.6609460294897</v>
      </c>
      <c r="CS150" s="1">
        <f t="shared" si="182"/>
        <v>419.60320944742836</v>
      </c>
      <c r="CT150" s="1">
        <f t="shared" si="183"/>
        <v>54.04081940025072</v>
      </c>
      <c r="CU150" s="1">
        <f t="shared" si="184"/>
        <v>777.1123915404665</v>
      </c>
    </row>
    <row r="151" spans="2:99" ht="12.75">
      <c r="B151" s="28">
        <f>SUM(B18:B150)</f>
        <v>547284045.8315861</v>
      </c>
      <c r="C151" s="14"/>
      <c r="E151" s="30"/>
      <c r="F151" s="32"/>
      <c r="H151" s="32"/>
      <c r="I151" s="16">
        <f>SUM(I18:I150)</f>
        <v>119816439.08436148</v>
      </c>
      <c r="J151" s="16">
        <f>SUM(J18:J150)</f>
        <v>48236917.620980375</v>
      </c>
      <c r="K151" s="16">
        <f>SUM(K18:K150)</f>
        <v>287733323.4332328</v>
      </c>
      <c r="L151" s="16">
        <f>SUM(L18:L150)</f>
        <v>285547198.9005171</v>
      </c>
      <c r="M151" s="16">
        <f>SUM(M18:M150)</f>
        <v>68850528.23556125</v>
      </c>
      <c r="N151" s="82" t="s">
        <v>263</v>
      </c>
      <c r="V151" s="1">
        <f t="shared" si="185"/>
        <v>865.5154414200001</v>
      </c>
      <c r="W151" s="1">
        <f t="shared" si="186"/>
        <v>692.4123531360002</v>
      </c>
      <c r="X151" s="1">
        <f t="shared" si="187"/>
        <v>1151.1355370886004</v>
      </c>
      <c r="Y151" s="1">
        <f t="shared" si="188"/>
        <v>271.3746239999999</v>
      </c>
      <c r="Z151" s="1">
        <f t="shared" si="189"/>
        <v>217.09969919999992</v>
      </c>
      <c r="AA151" s="1">
        <f t="shared" si="190"/>
        <v>360.9282499200001</v>
      </c>
      <c r="AB151" s="1">
        <f>CD151*0.5424</f>
        <v>13708.936899489598</v>
      </c>
      <c r="AC151" s="1">
        <f>CE151*0.5424</f>
        <v>10967.149519591681</v>
      </c>
      <c r="AD151" s="1">
        <f>CF151*0.5424</f>
        <v>18232.886076321167</v>
      </c>
      <c r="AE151" s="1">
        <f>CD151*0.3178</f>
        <v>8032.2642821862</v>
      </c>
      <c r="AF151" s="1">
        <f>CE151*0.3178</f>
        <v>6425.8114257489615</v>
      </c>
      <c r="AG151" s="1">
        <f>CF151*0.3178</f>
        <v>10682.911495307646</v>
      </c>
      <c r="AH151"/>
      <c r="AI151"/>
      <c r="AJ151"/>
      <c r="AK151"/>
      <c r="AL151"/>
      <c r="AM151"/>
      <c r="AN151"/>
      <c r="AO151" s="94"/>
      <c r="AP151" t="s">
        <v>163</v>
      </c>
      <c r="AQ151" s="20" t="s">
        <v>164</v>
      </c>
      <c r="AR151">
        <v>1884546</v>
      </c>
      <c r="AS151" s="1">
        <f>AR151*0.015</f>
        <v>28268.19</v>
      </c>
      <c r="AT151" s="1">
        <f>AS151*0.8</f>
        <v>22614.552</v>
      </c>
      <c r="AU151" s="1">
        <f>AS151*1.33</f>
        <v>37596.6927</v>
      </c>
      <c r="AV151" s="1">
        <f aca="true" t="shared" si="216" ref="AV151:AV182">AS151*0.267</f>
        <v>7547.60673</v>
      </c>
      <c r="AW151" s="1">
        <f aca="true" t="shared" si="217" ref="AW151:AW182">AS151*0.2</f>
        <v>5653.638</v>
      </c>
      <c r="AX151" s="1">
        <f aca="true" t="shared" si="218" ref="AX151:AX182">AS151*0.467</f>
        <v>13201.24473</v>
      </c>
      <c r="AY151" s="1">
        <f t="shared" si="193"/>
        <v>1381.2120315900002</v>
      </c>
      <c r="AZ151" s="1">
        <f t="shared" si="194"/>
        <v>807.4013051862504</v>
      </c>
      <c r="BA151" s="1">
        <f t="shared" si="195"/>
        <v>1906.6250884068363</v>
      </c>
      <c r="BB151" s="1">
        <f t="shared" si="196"/>
        <v>437.76119034000004</v>
      </c>
      <c r="BC151" s="1">
        <f t="shared" si="197"/>
        <v>0</v>
      </c>
      <c r="BD151" s="1">
        <f t="shared" si="198"/>
        <v>1048.481826983334</v>
      </c>
      <c r="BE151" s="1">
        <f>AV151*0.5</f>
        <v>3773.803365</v>
      </c>
      <c r="BF151" s="1">
        <f>BE151*0.492</f>
        <v>1856.7112555800002</v>
      </c>
      <c r="BG151" s="1">
        <f>BE151*2</f>
        <v>7547.60673</v>
      </c>
      <c r="BH151" s="1">
        <f>AV151*0.1</f>
        <v>754.7606730000001</v>
      </c>
      <c r="BI151" s="1">
        <f>BH151*0.667</f>
        <v>503.4253688910001</v>
      </c>
      <c r="BJ151" s="1">
        <f>BH151*1.5</f>
        <v>1132.1410095</v>
      </c>
      <c r="BL151" s="2">
        <v>0.95</v>
      </c>
      <c r="BM151" s="2">
        <v>0.97</v>
      </c>
      <c r="BO151" s="1">
        <f t="shared" si="199"/>
        <v>604.1421426174661</v>
      </c>
      <c r="BP151" s="1">
        <f t="shared" si="200"/>
        <v>353.15733088846594</v>
      </c>
      <c r="BQ151" s="1">
        <f t="shared" si="201"/>
        <v>833.9578136691503</v>
      </c>
      <c r="BR151" s="1">
        <f t="shared" si="202"/>
        <v>105.06268568160004</v>
      </c>
      <c r="BS151" s="1">
        <f t="shared" si="203"/>
        <v>0</v>
      </c>
      <c r="BT151" s="1">
        <f t="shared" si="204"/>
        <v>251.63563847600017</v>
      </c>
      <c r="BU151" s="1">
        <f t="shared" si="205"/>
        <v>3773.803365</v>
      </c>
      <c r="BV151" s="1">
        <f t="shared" si="206"/>
        <v>1856.7112555800002</v>
      </c>
      <c r="BW151" s="1">
        <f t="shared" si="207"/>
        <v>7547.60673</v>
      </c>
      <c r="BX151" s="1">
        <f t="shared" si="208"/>
        <v>754.7606730000001</v>
      </c>
      <c r="BY151" s="1">
        <f t="shared" si="209"/>
        <v>503.4253688910001</v>
      </c>
      <c r="BZ151" s="1">
        <f t="shared" si="210"/>
        <v>1132.1410095</v>
      </c>
      <c r="CA151" s="1">
        <f t="shared" si="211"/>
        <v>6437.838336369066</v>
      </c>
      <c r="CB151" s="1">
        <f t="shared" si="212"/>
        <v>5199.394025702215</v>
      </c>
      <c r="CC151" s="1">
        <f t="shared" si="213"/>
        <v>11331.731266754981</v>
      </c>
      <c r="CD151" s="1">
        <f t="shared" si="176"/>
        <v>25274.588678999997</v>
      </c>
      <c r="CE151" s="1">
        <f t="shared" si="177"/>
        <v>20219.670943200003</v>
      </c>
      <c r="CF151" s="1">
        <f t="shared" si="178"/>
        <v>33615.20294307</v>
      </c>
      <c r="CG151" t="s">
        <v>163</v>
      </c>
      <c r="CH151" s="20" t="s">
        <v>164</v>
      </c>
      <c r="CI151">
        <v>1884546</v>
      </c>
      <c r="CJ151" s="102">
        <v>8.561316</v>
      </c>
      <c r="CK151" s="1">
        <v>20.54805</v>
      </c>
      <c r="CL151" s="1">
        <f t="shared" si="214"/>
        <v>29.109366</v>
      </c>
      <c r="CM151" s="1">
        <v>8.45233177934936</v>
      </c>
      <c r="CN151" s="1">
        <v>18.5129396166134</v>
      </c>
      <c r="CO151" s="1">
        <f t="shared" si="215"/>
        <v>26.96527139596276</v>
      </c>
      <c r="CP151" s="1">
        <f t="shared" si="179"/>
        <v>4.772478100700735</v>
      </c>
      <c r="CQ151" s="1">
        <f t="shared" si="180"/>
        <v>2.2822126546427763</v>
      </c>
      <c r="CR151" s="1">
        <f t="shared" si="181"/>
        <v>7.225726427552546</v>
      </c>
      <c r="CS151" s="1">
        <f t="shared" si="182"/>
        <v>1.6410265065260579</v>
      </c>
      <c r="CT151" s="1">
        <f t="shared" si="183"/>
        <v>0.2000355019179591</v>
      </c>
      <c r="CU151" s="1">
        <f t="shared" si="184"/>
        <v>3.2171431769972765</v>
      </c>
    </row>
    <row r="152" spans="2:99" ht="12.75">
      <c r="B152" s="1">
        <f>B151*0.22</f>
        <v>120402490.08294895</v>
      </c>
      <c r="E152" s="29"/>
      <c r="F152" s="32"/>
      <c r="H152" s="32"/>
      <c r="I152" s="42">
        <f>I151/B151</f>
        <v>0.2189291648403582</v>
      </c>
      <c r="J152" s="42">
        <f>J151/B151</f>
        <v>0.08813872428472756</v>
      </c>
      <c r="K152" s="42">
        <f>K151/B151</f>
        <v>0.5257476910294878</v>
      </c>
      <c r="L152" s="42">
        <f>L151/B151</f>
        <v>0.5217531939317441</v>
      </c>
      <c r="M152" s="42">
        <f>M151/B151</f>
        <v>0.12580401120764334</v>
      </c>
      <c r="N152" s="82" t="s">
        <v>264</v>
      </c>
      <c r="P152" s="95" t="s">
        <v>303</v>
      </c>
      <c r="Q152" s="44" t="s">
        <v>154</v>
      </c>
      <c r="R152" s="45" t="s">
        <v>155</v>
      </c>
      <c r="S152" s="46" t="s">
        <v>12</v>
      </c>
      <c r="T152" s="46" t="s">
        <v>156</v>
      </c>
      <c r="U152" s="93"/>
      <c r="V152" s="1">
        <f t="shared" si="185"/>
        <v>597.5088000000001</v>
      </c>
      <c r="W152" s="1">
        <f t="shared" si="186"/>
        <v>478.0070400000001</v>
      </c>
      <c r="X152" s="1">
        <f t="shared" si="187"/>
        <v>794.6867040000002</v>
      </c>
      <c r="Y152" s="1">
        <f t="shared" si="188"/>
        <v>79.21259520000001</v>
      </c>
      <c r="Z152" s="1">
        <f t="shared" si="189"/>
        <v>63.370076159999996</v>
      </c>
      <c r="AA152" s="1">
        <f t="shared" si="190"/>
        <v>105.35275161599998</v>
      </c>
      <c r="AB152" s="1">
        <f aca="true" t="shared" si="219" ref="AB152:AB209">CD152*0.5424</f>
        <v>4452.0537747456</v>
      </c>
      <c r="AC152" s="1">
        <f aca="true" t="shared" si="220" ref="AC152:AC209">CE152*0.5424</f>
        <v>3561.6430197964805</v>
      </c>
      <c r="AD152" s="1">
        <f aca="true" t="shared" si="221" ref="AD152:AD209">CF152*0.5424</f>
        <v>5921.231520411649</v>
      </c>
      <c r="AE152" s="1">
        <f aca="true" t="shared" si="222" ref="AE152:AE209">CD152*0.3178</f>
        <v>2608.5226578432007</v>
      </c>
      <c r="AF152" s="1">
        <f aca="true" t="shared" si="223" ref="AF152:AF209">CE152*0.3178</f>
        <v>2086.81812627456</v>
      </c>
      <c r="AG152" s="1">
        <f aca="true" t="shared" si="224" ref="AG152:AG209">CF152*0.3178</f>
        <v>3469.335134931457</v>
      </c>
      <c r="AH152"/>
      <c r="AI152"/>
      <c r="AJ152"/>
      <c r="AK152"/>
      <c r="AL152"/>
      <c r="AM152"/>
      <c r="AN152"/>
      <c r="AO152" s="43"/>
      <c r="AP152" t="s">
        <v>167</v>
      </c>
      <c r="AQ152" s="20" t="s">
        <v>164</v>
      </c>
      <c r="AR152">
        <v>569056</v>
      </c>
      <c r="AS152" s="1">
        <f aca="true" t="shared" si="225" ref="AS152:AS184">AR152*0.015</f>
        <v>8535.84</v>
      </c>
      <c r="AT152" s="1">
        <f>AS152*0.8</f>
        <v>6828.6720000000005</v>
      </c>
      <c r="AU152" s="1">
        <f>AS152*1.33</f>
        <v>11352.667200000002</v>
      </c>
      <c r="AV152" s="1">
        <f t="shared" si="216"/>
        <v>2279.06928</v>
      </c>
      <c r="AW152" s="1">
        <f t="shared" si="217"/>
        <v>1707.1680000000001</v>
      </c>
      <c r="AX152" s="1">
        <f t="shared" si="218"/>
        <v>3986.2372800000003</v>
      </c>
      <c r="AY152" s="1">
        <f t="shared" si="193"/>
        <v>417.06967824000003</v>
      </c>
      <c r="AZ152" s="1">
        <f t="shared" si="194"/>
        <v>243.8022511119744</v>
      </c>
      <c r="BA152" s="1">
        <f t="shared" si="195"/>
        <v>575.7229838424961</v>
      </c>
      <c r="BB152" s="1">
        <f t="shared" si="196"/>
        <v>132.18601824</v>
      </c>
      <c r="BC152" s="1">
        <f t="shared" si="197"/>
        <v>0</v>
      </c>
      <c r="BD152" s="1">
        <f t="shared" si="198"/>
        <v>316.598732286624</v>
      </c>
      <c r="BE152" s="1">
        <f>AV152*0.5</f>
        <v>1139.53464</v>
      </c>
      <c r="BF152" s="1">
        <f>BE152*0.492</f>
        <v>560.65104288</v>
      </c>
      <c r="BG152" s="1">
        <f>BE152*2</f>
        <v>2279.06928</v>
      </c>
      <c r="BH152" s="1">
        <f>AV152*0.1</f>
        <v>227.90692800000002</v>
      </c>
      <c r="BI152" s="1">
        <f>BH152*0.667</f>
        <v>152.01392097600004</v>
      </c>
      <c r="BJ152" s="1">
        <f>BH152*1.5</f>
        <v>341.86039200000005</v>
      </c>
      <c r="BL152" s="2">
        <v>0.96</v>
      </c>
      <c r="BM152" s="2">
        <v>0</v>
      </c>
      <c r="BO152" s="1">
        <f t="shared" si="199"/>
        <v>417.06967824000003</v>
      </c>
      <c r="BP152" s="1">
        <f t="shared" si="200"/>
        <v>243.8022511119744</v>
      </c>
      <c r="BQ152" s="1">
        <f t="shared" si="201"/>
        <v>575.7229838424961</v>
      </c>
      <c r="BR152" s="1">
        <f t="shared" si="202"/>
        <v>30.667156231679996</v>
      </c>
      <c r="BS152" s="1">
        <f t="shared" si="203"/>
        <v>0</v>
      </c>
      <c r="BT152" s="1">
        <f t="shared" si="204"/>
        <v>73.45090589049676</v>
      </c>
      <c r="BU152" s="1">
        <f t="shared" si="205"/>
        <v>1139.53464</v>
      </c>
      <c r="BV152" s="1">
        <f t="shared" si="206"/>
        <v>560.65104288</v>
      </c>
      <c r="BW152" s="1">
        <f t="shared" si="207"/>
        <v>2279.06928</v>
      </c>
      <c r="BX152" s="1">
        <f t="shared" si="208"/>
        <v>227.90692800000002</v>
      </c>
      <c r="BY152" s="1">
        <f t="shared" si="209"/>
        <v>152.01392097600004</v>
      </c>
      <c r="BZ152" s="1">
        <f t="shared" si="210"/>
        <v>341.86039200000005</v>
      </c>
      <c r="CA152" s="1">
        <f t="shared" si="211"/>
        <v>2177.55041799168</v>
      </c>
      <c r="CB152" s="1">
        <f t="shared" si="212"/>
        <v>1707.1680000000001</v>
      </c>
      <c r="CC152" s="1">
        <f t="shared" si="213"/>
        <v>3743.089453603873</v>
      </c>
      <c r="CD152" s="1">
        <f t="shared" si="176"/>
        <v>8208.063744000001</v>
      </c>
      <c r="CE152" s="1">
        <f t="shared" si="177"/>
        <v>6566.450995200001</v>
      </c>
      <c r="CF152" s="1">
        <f t="shared" si="178"/>
        <v>10916.724779520002</v>
      </c>
      <c r="CG152" t="s">
        <v>167</v>
      </c>
      <c r="CH152" s="20" t="s">
        <v>164</v>
      </c>
      <c r="CI152">
        <v>569056</v>
      </c>
      <c r="CJ152" s="102">
        <v>37.87146</v>
      </c>
      <c r="CK152" s="1">
        <v>27.85066</v>
      </c>
      <c r="CL152" s="1">
        <f t="shared" si="214"/>
        <v>65.72212</v>
      </c>
      <c r="CM152" s="1">
        <v>36.6653625477707</v>
      </c>
      <c r="CN152" s="1">
        <v>26.7476635643564</v>
      </c>
      <c r="CO152" s="1">
        <f t="shared" si="215"/>
        <v>63.4130261121271</v>
      </c>
      <c r="CP152" s="1">
        <f t="shared" si="179"/>
        <v>20.90093340655709</v>
      </c>
      <c r="CQ152" s="1">
        <f t="shared" si="180"/>
        <v>11.065573056566178</v>
      </c>
      <c r="CR152" s="1">
        <f t="shared" si="181"/>
        <v>28.890974696685106</v>
      </c>
      <c r="CS152" s="1">
        <f t="shared" si="182"/>
        <v>3.7380741558662027</v>
      </c>
      <c r="CT152" s="1">
        <f t="shared" si="183"/>
        <v>0.4548465552150429</v>
      </c>
      <c r="CU152" s="1">
        <f t="shared" si="184"/>
        <v>7.342625923123663</v>
      </c>
    </row>
    <row r="153" spans="5:99" ht="12.75">
      <c r="E153" s="29"/>
      <c r="F153" s="32"/>
      <c r="H153" s="32"/>
      <c r="I153" s="40" t="s">
        <v>243</v>
      </c>
      <c r="J153" s="40" t="s">
        <v>247</v>
      </c>
      <c r="K153" s="40" t="s">
        <v>244</v>
      </c>
      <c r="L153" s="41" t="s">
        <v>245</v>
      </c>
      <c r="M153" s="40" t="s">
        <v>246</v>
      </c>
      <c r="N153" s="82"/>
      <c r="P153" s="47" t="s">
        <v>239</v>
      </c>
      <c r="Q153" s="16">
        <f>SUM(B18:B150)</f>
        <v>547284045.8315861</v>
      </c>
      <c r="R153" s="42">
        <v>0.22</v>
      </c>
      <c r="S153" s="16">
        <f>SUM(S18:S150)</f>
        <v>120404841.70694326</v>
      </c>
      <c r="T153" s="16">
        <f>S153*0.115</f>
        <v>13846556.796298476</v>
      </c>
      <c r="U153" s="15"/>
      <c r="V153" s="1">
        <f t="shared" si="185"/>
        <v>22732.727850000003</v>
      </c>
      <c r="W153" s="1">
        <f t="shared" si="186"/>
        <v>18186.182280000005</v>
      </c>
      <c r="X153" s="1">
        <f t="shared" si="187"/>
        <v>30234.528040500005</v>
      </c>
      <c r="Y153" s="1">
        <f t="shared" si="188"/>
        <v>3845.0785392</v>
      </c>
      <c r="Z153" s="1">
        <f t="shared" si="189"/>
        <v>3076.062831359999</v>
      </c>
      <c r="AA153" s="1">
        <f t="shared" si="190"/>
        <v>5113.954457135998</v>
      </c>
      <c r="AB153" s="1">
        <f t="shared" si="219"/>
        <v>169945.8204859776</v>
      </c>
      <c r="AC153" s="1">
        <f t="shared" si="220"/>
        <v>135956.65638878208</v>
      </c>
      <c r="AD153" s="1">
        <f t="shared" si="221"/>
        <v>226027.9412463502</v>
      </c>
      <c r="AE153" s="1">
        <f t="shared" si="222"/>
        <v>99573.71266674722</v>
      </c>
      <c r="AF153" s="1">
        <f t="shared" si="223"/>
        <v>79658.97013339777</v>
      </c>
      <c r="AG153" s="1">
        <f t="shared" si="224"/>
        <v>132433.0378467738</v>
      </c>
      <c r="AH153"/>
      <c r="AI153"/>
      <c r="AJ153"/>
      <c r="AK153"/>
      <c r="AL153"/>
      <c r="AM153"/>
      <c r="AN153"/>
      <c r="AP153" t="s">
        <v>165</v>
      </c>
      <c r="AQ153" s="20" t="s">
        <v>164</v>
      </c>
      <c r="AR153">
        <v>21650217</v>
      </c>
      <c r="AS153" s="1">
        <f t="shared" si="225"/>
        <v>324753.255</v>
      </c>
      <c r="AT153" s="1">
        <f>AS153*0.8</f>
        <v>259802.60400000002</v>
      </c>
      <c r="AU153" s="1">
        <f>AS153*1.33</f>
        <v>431921.82915</v>
      </c>
      <c r="AV153" s="1">
        <f t="shared" si="216"/>
        <v>86709.11908500001</v>
      </c>
      <c r="AW153" s="1">
        <f t="shared" si="217"/>
        <v>64950.651000000005</v>
      </c>
      <c r="AX153" s="1">
        <f t="shared" si="218"/>
        <v>151659.770085</v>
      </c>
      <c r="AY153" s="1">
        <f t="shared" si="193"/>
        <v>15867.768792555002</v>
      </c>
      <c r="AZ153" s="1">
        <f t="shared" si="194"/>
        <v>9275.662925375951</v>
      </c>
      <c r="BA153" s="1">
        <f t="shared" si="195"/>
        <v>21903.868041242924</v>
      </c>
      <c r="BB153" s="1">
        <f t="shared" si="196"/>
        <v>5029.128906930001</v>
      </c>
      <c r="BC153" s="1">
        <f t="shared" si="197"/>
        <v>0</v>
      </c>
      <c r="BD153" s="1">
        <f t="shared" si="198"/>
        <v>12045.266644988043</v>
      </c>
      <c r="BE153" s="1">
        <f>AV153*0.5</f>
        <v>43354.55954250001</v>
      </c>
      <c r="BF153" s="1">
        <f>BE153*0.492</f>
        <v>21330.443294910005</v>
      </c>
      <c r="BG153" s="1">
        <f>BE153*2</f>
        <v>86709.11908500001</v>
      </c>
      <c r="BH153" s="1">
        <f>AV153*0.1</f>
        <v>8670.911908500002</v>
      </c>
      <c r="BI153" s="1">
        <f>BH153*0.667</f>
        <v>5783.498242969502</v>
      </c>
      <c r="BJ153" s="1">
        <f>BH153*1.5</f>
        <v>13006.367862750003</v>
      </c>
      <c r="BL153" s="2">
        <v>0.88</v>
      </c>
      <c r="BM153" s="2">
        <v>0</v>
      </c>
      <c r="BO153" s="1">
        <f t="shared" si="199"/>
        <v>15867.768792555002</v>
      </c>
      <c r="BP153" s="1">
        <f t="shared" si="200"/>
        <v>9275.662925375951</v>
      </c>
      <c r="BQ153" s="1">
        <f t="shared" si="201"/>
        <v>21903.868041242924</v>
      </c>
      <c r="BR153" s="1">
        <f t="shared" si="202"/>
        <v>1488.6221564512803</v>
      </c>
      <c r="BS153" s="1">
        <f t="shared" si="203"/>
        <v>0</v>
      </c>
      <c r="BT153" s="1">
        <f t="shared" si="204"/>
        <v>3565.3989269164613</v>
      </c>
      <c r="BU153" s="1">
        <f t="shared" si="205"/>
        <v>43354.55954250001</v>
      </c>
      <c r="BV153" s="1">
        <f t="shared" si="206"/>
        <v>21330.443294910005</v>
      </c>
      <c r="BW153" s="1">
        <f t="shared" si="207"/>
        <v>86709.11908500001</v>
      </c>
      <c r="BX153" s="1">
        <f t="shared" si="208"/>
        <v>8670.911908500002</v>
      </c>
      <c r="BY153" s="1">
        <f t="shared" si="209"/>
        <v>5783.498242969502</v>
      </c>
      <c r="BZ153" s="1">
        <f t="shared" si="210"/>
        <v>13006.367862750003</v>
      </c>
      <c r="CA153" s="1">
        <f t="shared" si="211"/>
        <v>83168.6123345213</v>
      </c>
      <c r="CB153" s="1">
        <f t="shared" si="212"/>
        <v>64950.651000000005</v>
      </c>
      <c r="CC153" s="1">
        <f t="shared" si="213"/>
        <v>143179.9023669284</v>
      </c>
      <c r="CD153" s="1">
        <f t="shared" si="176"/>
        <v>313321.94042400003</v>
      </c>
      <c r="CE153" s="1">
        <f t="shared" si="177"/>
        <v>250657.55233920002</v>
      </c>
      <c r="CF153" s="1">
        <f t="shared" si="178"/>
        <v>416718.18076392</v>
      </c>
      <c r="CG153" t="s">
        <v>165</v>
      </c>
      <c r="CH153" s="20" t="s">
        <v>164</v>
      </c>
      <c r="CI153">
        <v>21650217</v>
      </c>
      <c r="CJ153" s="102">
        <v>279.8826</v>
      </c>
      <c r="CK153" s="1">
        <v>525.0692</v>
      </c>
      <c r="CL153" s="1">
        <f t="shared" si="214"/>
        <v>804.9518</v>
      </c>
      <c r="CM153" s="1">
        <v>281.565966285746</v>
      </c>
      <c r="CN153" s="1">
        <v>517.107346742007</v>
      </c>
      <c r="CO153" s="1">
        <f t="shared" si="215"/>
        <v>798.673313027753</v>
      </c>
      <c r="CP153" s="1">
        <f t="shared" si="179"/>
        <v>263.2427239739474</v>
      </c>
      <c r="CQ153" s="1">
        <f t="shared" si="180"/>
        <v>139.3684931233429</v>
      </c>
      <c r="CR153" s="1">
        <f t="shared" si="181"/>
        <v>363.8755614154443</v>
      </c>
      <c r="CS153" s="1">
        <f t="shared" si="182"/>
        <v>59.10671828842756</v>
      </c>
      <c r="CT153" s="1">
        <f t="shared" si="183"/>
        <v>7.29458928365972</v>
      </c>
      <c r="CU153" s="1">
        <f t="shared" si="184"/>
        <v>114.3379624105121</v>
      </c>
    </row>
    <row r="154" spans="1:99" ht="13.5" thickBot="1">
      <c r="A154" s="39" t="s">
        <v>252</v>
      </c>
      <c r="B154" s="52"/>
      <c r="C154" s="49"/>
      <c r="D154" s="54" t="s">
        <v>253</v>
      </c>
      <c r="E154" s="55"/>
      <c r="F154" s="56"/>
      <c r="G154" s="56"/>
      <c r="H154" s="57"/>
      <c r="I154" s="33"/>
      <c r="J154" s="33"/>
      <c r="K154" s="33"/>
      <c r="L154" s="33"/>
      <c r="M154" s="33"/>
      <c r="P154" s="47" t="s">
        <v>240</v>
      </c>
      <c r="Q154" s="131">
        <f>SUM(AR151:AR209)</f>
        <v>86177291</v>
      </c>
      <c r="R154" s="244">
        <f>S154/Q154</f>
        <v>0.02522637895405647</v>
      </c>
      <c r="S154" s="131">
        <v>2173941</v>
      </c>
      <c r="T154" s="131">
        <f>S154*0.267</f>
        <v>580442.2470000001</v>
      </c>
      <c r="U154" s="15"/>
      <c r="V154" s="1">
        <f t="shared" si="185"/>
        <v>4.20105</v>
      </c>
      <c r="W154" s="1">
        <f t="shared" si="186"/>
        <v>3.3608400000000005</v>
      </c>
      <c r="X154" s="1">
        <f t="shared" si="187"/>
        <v>5.5873965000000005</v>
      </c>
      <c r="Y154" s="1">
        <f t="shared" si="188"/>
        <v>0.5185295999999999</v>
      </c>
      <c r="Z154" s="1">
        <f t="shared" si="189"/>
        <v>0.41482368000000003</v>
      </c>
      <c r="AA154" s="1">
        <f t="shared" si="190"/>
        <v>0.6896443680000002</v>
      </c>
      <c r="AB154" s="1">
        <f t="shared" si="219"/>
        <v>31.276092268800003</v>
      </c>
      <c r="AC154" s="1">
        <f t="shared" si="220"/>
        <v>25.020873815039998</v>
      </c>
      <c r="AD154" s="1">
        <f t="shared" si="221"/>
        <v>41.597202717504004</v>
      </c>
      <c r="AE154" s="1">
        <f t="shared" si="222"/>
        <v>18.325114533600004</v>
      </c>
      <c r="AF154" s="1">
        <f t="shared" si="223"/>
        <v>14.66009162688</v>
      </c>
      <c r="AG154" s="1">
        <f t="shared" si="224"/>
        <v>24.372402329688004</v>
      </c>
      <c r="AH154"/>
      <c r="AI154"/>
      <c r="AJ154"/>
      <c r="AK154"/>
      <c r="AL154"/>
      <c r="AM154"/>
      <c r="AN154"/>
      <c r="AP154" t="s">
        <v>170</v>
      </c>
      <c r="AQ154" s="21" t="s">
        <v>171</v>
      </c>
      <c r="AR154">
        <v>4001</v>
      </c>
      <c r="AS154" s="1">
        <f t="shared" si="225"/>
        <v>60.015</v>
      </c>
      <c r="AT154" s="1">
        <f>AS154*0.8</f>
        <v>48.012</v>
      </c>
      <c r="AU154" s="1">
        <f>AS154*1.33</f>
        <v>79.81995</v>
      </c>
      <c r="AV154" s="1">
        <f t="shared" si="216"/>
        <v>16.024005000000002</v>
      </c>
      <c r="AW154" s="1">
        <f t="shared" si="217"/>
        <v>12.003</v>
      </c>
      <c r="AX154" s="1">
        <f t="shared" si="218"/>
        <v>28.027005000000003</v>
      </c>
      <c r="AY154" s="1">
        <f t="shared" si="193"/>
        <v>2.9323929150000003</v>
      </c>
      <c r="AZ154" s="1">
        <f t="shared" si="194"/>
        <v>1.7141596023924002</v>
      </c>
      <c r="BA154" s="1">
        <f t="shared" si="195"/>
        <v>4.047875179866001</v>
      </c>
      <c r="BB154" s="1">
        <f t="shared" si="196"/>
        <v>0.9293922900000002</v>
      </c>
      <c r="BC154" s="1">
        <f t="shared" si="197"/>
        <v>0</v>
      </c>
      <c r="BD154" s="1">
        <f t="shared" si="198"/>
        <v>2.2259874737790004</v>
      </c>
      <c r="BE154" s="1">
        <f>AV154*0.59</f>
        <v>9.45416295</v>
      </c>
      <c r="BF154" s="1">
        <f>BE154*0.745</f>
        <v>7.04335139775</v>
      </c>
      <c r="BG154" s="1">
        <f>BE154*1.309</f>
        <v>12.37549930155</v>
      </c>
      <c r="BH154" s="1">
        <f>AV154*0.12</f>
        <v>1.9228806000000003</v>
      </c>
      <c r="BI154" s="1">
        <f>BH154*0.636</f>
        <v>1.2229520616000003</v>
      </c>
      <c r="BJ154" s="1">
        <f>BH154*1.455</f>
        <v>2.7977912730000005</v>
      </c>
      <c r="BL154" s="2">
        <v>0.98</v>
      </c>
      <c r="BM154" s="2">
        <v>0</v>
      </c>
      <c r="BO154" s="1">
        <f t="shared" si="199"/>
        <v>2.9323929150000003</v>
      </c>
      <c r="BP154" s="1">
        <f t="shared" si="200"/>
        <v>1.7141596023924002</v>
      </c>
      <c r="BQ154" s="1">
        <f t="shared" si="201"/>
        <v>4.047875179866001</v>
      </c>
      <c r="BR154" s="1">
        <f t="shared" si="202"/>
        <v>0.2007487346400001</v>
      </c>
      <c r="BS154" s="1">
        <f t="shared" si="203"/>
        <v>0</v>
      </c>
      <c r="BT154" s="1">
        <f t="shared" si="204"/>
        <v>0.48081329433626396</v>
      </c>
      <c r="BU154" s="1">
        <f t="shared" si="205"/>
        <v>9.45416295</v>
      </c>
      <c r="BV154" s="1">
        <f t="shared" si="206"/>
        <v>7.04335139775</v>
      </c>
      <c r="BW154" s="1">
        <f t="shared" si="207"/>
        <v>12.37549930155</v>
      </c>
      <c r="BX154" s="1">
        <f t="shared" si="208"/>
        <v>1.9228806000000003</v>
      </c>
      <c r="BY154" s="1">
        <f t="shared" si="209"/>
        <v>1.2229520616000003</v>
      </c>
      <c r="BZ154" s="1">
        <f t="shared" si="210"/>
        <v>2.7977912730000005</v>
      </c>
      <c r="CA154" s="1">
        <f t="shared" si="211"/>
        <v>15.295361444640003</v>
      </c>
      <c r="CB154" s="1">
        <f t="shared" si="212"/>
        <v>12.003</v>
      </c>
      <c r="CC154" s="1">
        <f t="shared" si="213"/>
        <v>26.281830820557268</v>
      </c>
      <c r="CD154" s="1">
        <f t="shared" si="176"/>
        <v>57.662412</v>
      </c>
      <c r="CE154" s="1">
        <f t="shared" si="177"/>
        <v>46.1299296</v>
      </c>
      <c r="CF154" s="1">
        <f t="shared" si="178"/>
        <v>76.69100796000001</v>
      </c>
      <c r="CG154" t="s">
        <v>170</v>
      </c>
      <c r="CH154" s="21" t="s">
        <v>171</v>
      </c>
      <c r="CI154">
        <v>4001</v>
      </c>
      <c r="CJ154" s="102">
        <v>0.0063527</v>
      </c>
      <c r="CK154" s="1">
        <v>0.173118</v>
      </c>
      <c r="CL154" s="1">
        <f t="shared" si="214"/>
        <v>0.17947069999999998</v>
      </c>
      <c r="CM154" s="1">
        <v>0.0063527</v>
      </c>
      <c r="CN154" s="1">
        <v>0.115412</v>
      </c>
      <c r="CO154" s="1">
        <f t="shared" si="215"/>
        <v>0.1217647</v>
      </c>
      <c r="CP154" s="1">
        <f t="shared" si="179"/>
        <v>0.04013364512</v>
      </c>
      <c r="CQ154" s="1">
        <f t="shared" si="180"/>
        <v>0.02124794015</v>
      </c>
      <c r="CR154" s="1">
        <f t="shared" si="181"/>
        <v>0.055475997320000005</v>
      </c>
      <c r="CS154" s="1">
        <f t="shared" si="182"/>
        <v>0.006710050294532148</v>
      </c>
      <c r="CT154" s="1">
        <f t="shared" si="183"/>
        <v>0.0008135579396658811</v>
      </c>
      <c r="CU154" s="1">
        <f t="shared" si="184"/>
        <v>0.013232505907078853</v>
      </c>
    </row>
    <row r="155" spans="1:99" ht="14.25" thickBot="1" thickTop="1">
      <c r="A155" t="s">
        <v>250</v>
      </c>
      <c r="B155" s="53">
        <v>1.8</v>
      </c>
      <c r="C155" s="51" t="s">
        <v>14</v>
      </c>
      <c r="D155" s="35">
        <v>18.2</v>
      </c>
      <c r="E155" s="36">
        <v>5.9</v>
      </c>
      <c r="F155" s="36">
        <v>69.1</v>
      </c>
      <c r="G155" s="36">
        <v>76</v>
      </c>
      <c r="H155" s="36">
        <v>22.1</v>
      </c>
      <c r="I155" s="30"/>
      <c r="J155" s="30"/>
      <c r="K155" s="30"/>
      <c r="L155" s="30"/>
      <c r="M155" s="30"/>
      <c r="P155" s="47" t="s">
        <v>14</v>
      </c>
      <c r="Q155" s="16">
        <f>SUM(B18:B44)</f>
        <v>65314136.792281546</v>
      </c>
      <c r="R155" s="42">
        <f aca="true" t="shared" si="226" ref="R155:R163">S155/Q155</f>
        <v>0.2845880240107347</v>
      </c>
      <c r="S155" s="16">
        <f>SUM(S18:S44)</f>
        <v>18587621.12968223</v>
      </c>
      <c r="T155" s="16">
        <f>S155*0.115</f>
        <v>2137576.4299134566</v>
      </c>
      <c r="U155" s="15"/>
      <c r="V155" s="1">
        <f t="shared" si="185"/>
        <v>405.75255000000004</v>
      </c>
      <c r="W155" s="1">
        <f t="shared" si="186"/>
        <v>324.60204000000004</v>
      </c>
      <c r="X155" s="1">
        <f t="shared" si="187"/>
        <v>539.6508915000001</v>
      </c>
      <c r="Y155" s="1">
        <f t="shared" si="188"/>
        <v>77.9044896</v>
      </c>
      <c r="Z155" s="1">
        <f t="shared" si="189"/>
        <v>62.32359168000002</v>
      </c>
      <c r="AA155" s="1">
        <f t="shared" si="190"/>
        <v>103.612971168</v>
      </c>
      <c r="AB155" s="1">
        <f t="shared" si="219"/>
        <v>3039.6217291487997</v>
      </c>
      <c r="AC155" s="1">
        <f t="shared" si="220"/>
        <v>2431.6973833190405</v>
      </c>
      <c r="AD155" s="1">
        <f t="shared" si="221"/>
        <v>4042.696899767904</v>
      </c>
      <c r="AE155" s="1">
        <f t="shared" si="222"/>
        <v>1780.9583066436</v>
      </c>
      <c r="AF155" s="1">
        <f t="shared" si="223"/>
        <v>1424.7666453148802</v>
      </c>
      <c r="AG155" s="1">
        <f t="shared" si="224"/>
        <v>2368.6745478359885</v>
      </c>
      <c r="AH155"/>
      <c r="AI155"/>
      <c r="AJ155"/>
      <c r="AK155"/>
      <c r="AL155"/>
      <c r="AM155"/>
      <c r="AN155"/>
      <c r="AP155" t="s">
        <v>172</v>
      </c>
      <c r="AQ155" s="21" t="s">
        <v>171</v>
      </c>
      <c r="AR155">
        <v>386431</v>
      </c>
      <c r="AS155" s="1">
        <f t="shared" si="225"/>
        <v>5796.465</v>
      </c>
      <c r="AT155" s="1">
        <f aca="true" t="shared" si="227" ref="AT155:AT209">AS155*0.8</f>
        <v>4637.1720000000005</v>
      </c>
      <c r="AU155" s="1">
        <f aca="true" t="shared" si="228" ref="AU155:AU209">AS155*1.33</f>
        <v>7709.29845</v>
      </c>
      <c r="AV155" s="1">
        <f t="shared" si="216"/>
        <v>1547.6561550000001</v>
      </c>
      <c r="AW155" s="1">
        <f t="shared" si="217"/>
        <v>1159.2930000000001</v>
      </c>
      <c r="AX155" s="1">
        <f t="shared" si="218"/>
        <v>2706.9491550000002</v>
      </c>
      <c r="AY155" s="1">
        <f t="shared" si="193"/>
        <v>283.22107636500004</v>
      </c>
      <c r="AZ155" s="1">
        <f t="shared" si="194"/>
        <v>165.55971239992442</v>
      </c>
      <c r="BA155" s="1">
        <f t="shared" si="195"/>
        <v>390.9583738142461</v>
      </c>
      <c r="BB155" s="1">
        <f t="shared" si="196"/>
        <v>89.76405699000001</v>
      </c>
      <c r="BC155" s="1">
        <f t="shared" si="197"/>
        <v>0</v>
      </c>
      <c r="BD155" s="1">
        <f t="shared" si="198"/>
        <v>214.993892896749</v>
      </c>
      <c r="BE155" s="1">
        <f aca="true" t="shared" si="229" ref="BE155:BE204">AV155*0.59</f>
        <v>913.11713145</v>
      </c>
      <c r="BF155" s="1">
        <f aca="true" t="shared" si="230" ref="BF155:BF204">BE155*0.745</f>
        <v>680.27226293025</v>
      </c>
      <c r="BG155" s="1">
        <f aca="true" t="shared" si="231" ref="BG155:BG204">BE155*1.309</f>
        <v>1195.27032506805</v>
      </c>
      <c r="BH155" s="1">
        <f aca="true" t="shared" si="232" ref="BH155:BH204">AV155*0.12</f>
        <v>185.7187386</v>
      </c>
      <c r="BI155" s="1">
        <f aca="true" t="shared" si="233" ref="BI155:BI204">BH155*0.636</f>
        <v>118.1171177496</v>
      </c>
      <c r="BJ155" s="1">
        <f aca="true" t="shared" si="234" ref="BJ155:BJ204">BH155*1.455</f>
        <v>270.220764663</v>
      </c>
      <c r="BL155" s="2">
        <v>0.83</v>
      </c>
      <c r="BM155" s="2">
        <v>0</v>
      </c>
      <c r="BO155" s="1">
        <f t="shared" si="199"/>
        <v>283.22107636500004</v>
      </c>
      <c r="BP155" s="1">
        <f t="shared" si="200"/>
        <v>165.55971239992442</v>
      </c>
      <c r="BQ155" s="1">
        <f t="shared" si="201"/>
        <v>390.9583738142461</v>
      </c>
      <c r="BR155" s="1">
        <f t="shared" si="202"/>
        <v>30.160723148640002</v>
      </c>
      <c r="BS155" s="1">
        <f t="shared" si="203"/>
        <v>0</v>
      </c>
      <c r="BT155" s="1">
        <f t="shared" si="204"/>
        <v>72.23794801330766</v>
      </c>
      <c r="BU155" s="1">
        <f t="shared" si="205"/>
        <v>913.11713145</v>
      </c>
      <c r="BV155" s="1">
        <f t="shared" si="206"/>
        <v>680.27226293025</v>
      </c>
      <c r="BW155" s="1">
        <f t="shared" si="207"/>
        <v>1195.27032506805</v>
      </c>
      <c r="BX155" s="1">
        <f t="shared" si="208"/>
        <v>185.7187386</v>
      </c>
      <c r="BY155" s="1">
        <f t="shared" si="209"/>
        <v>118.1171177496</v>
      </c>
      <c r="BZ155" s="1">
        <f t="shared" si="210"/>
        <v>270.220764663</v>
      </c>
      <c r="CA155" s="1">
        <f t="shared" si="211"/>
        <v>1488.0528211586402</v>
      </c>
      <c r="CB155" s="1">
        <f t="shared" si="212"/>
        <v>1159.2930000000001</v>
      </c>
      <c r="CC155" s="1">
        <f t="shared" si="213"/>
        <v>2564.193210116559</v>
      </c>
      <c r="CD155" s="1">
        <f t="shared" si="176"/>
        <v>5604.022362</v>
      </c>
      <c r="CE155" s="1">
        <f t="shared" si="177"/>
        <v>4483.2178896000005</v>
      </c>
      <c r="CF155" s="1">
        <f t="shared" si="178"/>
        <v>7453.349741460001</v>
      </c>
      <c r="CG155" t="s">
        <v>172</v>
      </c>
      <c r="CH155" s="21" t="s">
        <v>171</v>
      </c>
      <c r="CI155">
        <v>386431</v>
      </c>
      <c r="CJ155" s="102">
        <v>0.8912967</v>
      </c>
      <c r="CK155" s="1">
        <v>4.270211</v>
      </c>
      <c r="CL155" s="1">
        <f t="shared" si="214"/>
        <v>5.1615077</v>
      </c>
      <c r="CM155" s="1">
        <v>0.896167173770492</v>
      </c>
      <c r="CN155" s="1">
        <v>4.0761105</v>
      </c>
      <c r="CO155" s="1">
        <f t="shared" si="215"/>
        <v>4.972277673770493</v>
      </c>
      <c r="CP155" s="1">
        <f t="shared" si="179"/>
        <v>1.6388627212747544</v>
      </c>
      <c r="CQ155" s="1">
        <f t="shared" si="180"/>
        <v>0.867662454072951</v>
      </c>
      <c r="CR155" s="1">
        <f t="shared" si="181"/>
        <v>2.2653697081698367</v>
      </c>
      <c r="CS155" s="1">
        <f t="shared" si="182"/>
        <v>0.4135698631691307</v>
      </c>
      <c r="CT155" s="1">
        <f t="shared" si="183"/>
        <v>0.05148715768694878</v>
      </c>
      <c r="CU155" s="1">
        <f t="shared" si="184"/>
        <v>0.7926886194446978</v>
      </c>
    </row>
    <row r="156" spans="1:99" ht="14.25" thickBot="1" thickTop="1">
      <c r="A156" t="s">
        <v>251</v>
      </c>
      <c r="B156" s="53">
        <v>1.4</v>
      </c>
      <c r="C156" s="51" t="s">
        <v>41</v>
      </c>
      <c r="D156" s="37">
        <v>15.8</v>
      </c>
      <c r="E156" s="38">
        <v>7.1</v>
      </c>
      <c r="F156" s="38">
        <v>54.3</v>
      </c>
      <c r="G156" s="38">
        <v>85.7</v>
      </c>
      <c r="H156" s="38">
        <v>14.5</v>
      </c>
      <c r="I156" s="30"/>
      <c r="J156" s="30"/>
      <c r="K156" s="30"/>
      <c r="L156" s="30"/>
      <c r="M156" s="30"/>
      <c r="P156" s="47" t="s">
        <v>41</v>
      </c>
      <c r="Q156" s="16">
        <f>SUM(B45:B63)</f>
        <v>68026625</v>
      </c>
      <c r="R156" s="42">
        <f t="shared" si="226"/>
        <v>0.27618277892304954</v>
      </c>
      <c r="S156" s="16">
        <f>SUM(S45:S63)</f>
        <v>18787782.333256196</v>
      </c>
      <c r="T156" s="16">
        <f aca="true" t="shared" si="235" ref="T156:T163">S156*0.115</f>
        <v>2160594.968324463</v>
      </c>
      <c r="U156" s="15"/>
      <c r="V156" s="1">
        <f t="shared" si="185"/>
        <v>647.0719500000001</v>
      </c>
      <c r="W156" s="1">
        <f t="shared" si="186"/>
        <v>517.6575600000001</v>
      </c>
      <c r="X156" s="1">
        <f t="shared" si="187"/>
        <v>860.6056935000001</v>
      </c>
      <c r="Y156" s="1">
        <f t="shared" si="188"/>
        <v>79.86716639999997</v>
      </c>
      <c r="Z156" s="1">
        <f t="shared" si="189"/>
        <v>63.89373311999998</v>
      </c>
      <c r="AA156" s="1">
        <f t="shared" si="190"/>
        <v>106.22333131199997</v>
      </c>
      <c r="AB156" s="1">
        <f t="shared" si="219"/>
        <v>4817.339001619201</v>
      </c>
      <c r="AC156" s="1">
        <f t="shared" si="220"/>
        <v>3853.87120129536</v>
      </c>
      <c r="AD156" s="1">
        <f t="shared" si="221"/>
        <v>6407.060872153536</v>
      </c>
      <c r="AE156" s="1">
        <f t="shared" si="222"/>
        <v>2822.5485522024005</v>
      </c>
      <c r="AF156" s="1">
        <f t="shared" si="223"/>
        <v>2258.03884176192</v>
      </c>
      <c r="AG156" s="1">
        <f t="shared" si="224"/>
        <v>3753.9895744291925</v>
      </c>
      <c r="AH156"/>
      <c r="AI156"/>
      <c r="AJ156"/>
      <c r="AK156"/>
      <c r="AL156"/>
      <c r="AM156"/>
      <c r="AN156"/>
      <c r="AP156" t="s">
        <v>173</v>
      </c>
      <c r="AQ156" s="21" t="s">
        <v>171</v>
      </c>
      <c r="AR156">
        <v>616259</v>
      </c>
      <c r="AS156" s="1">
        <f t="shared" si="225"/>
        <v>9243.885</v>
      </c>
      <c r="AT156" s="1">
        <f t="shared" si="227"/>
        <v>7395.108</v>
      </c>
      <c r="AU156" s="1">
        <f t="shared" si="228"/>
        <v>12294.36705</v>
      </c>
      <c r="AV156" s="1">
        <f t="shared" si="216"/>
        <v>2468.117295</v>
      </c>
      <c r="AW156" s="1">
        <f t="shared" si="217"/>
        <v>1848.777</v>
      </c>
      <c r="AX156" s="1">
        <f t="shared" si="218"/>
        <v>4316.894295</v>
      </c>
      <c r="AY156" s="1">
        <f t="shared" si="193"/>
        <v>451.66546498499997</v>
      </c>
      <c r="AZ156" s="1">
        <f t="shared" si="194"/>
        <v>264.02556421163155</v>
      </c>
      <c r="BA156" s="1">
        <f t="shared" si="195"/>
        <v>623.479007865294</v>
      </c>
      <c r="BB156" s="1">
        <f t="shared" si="196"/>
        <v>143.15080311</v>
      </c>
      <c r="BC156" s="1">
        <f t="shared" si="197"/>
        <v>0</v>
      </c>
      <c r="BD156" s="1">
        <f t="shared" si="198"/>
        <v>342.860488528761</v>
      </c>
      <c r="BE156" s="1">
        <f t="shared" si="229"/>
        <v>1456.18920405</v>
      </c>
      <c r="BF156" s="1">
        <f t="shared" si="230"/>
        <v>1084.86095701725</v>
      </c>
      <c r="BG156" s="1">
        <f t="shared" si="231"/>
        <v>1906.1516681014498</v>
      </c>
      <c r="BH156" s="1">
        <f t="shared" si="232"/>
        <v>296.1740754</v>
      </c>
      <c r="BI156" s="1">
        <f t="shared" si="233"/>
        <v>188.3667119544</v>
      </c>
      <c r="BJ156" s="1">
        <f t="shared" si="234"/>
        <v>430.933279707</v>
      </c>
      <c r="BL156" s="2">
        <v>0.98</v>
      </c>
      <c r="BM156" s="2">
        <v>0</v>
      </c>
      <c r="BO156" s="1">
        <f t="shared" si="199"/>
        <v>451.66546498499997</v>
      </c>
      <c r="BP156" s="1">
        <f t="shared" si="200"/>
        <v>264.02556421163155</v>
      </c>
      <c r="BQ156" s="1">
        <f t="shared" si="201"/>
        <v>623.479007865294</v>
      </c>
      <c r="BR156" s="1">
        <f t="shared" si="202"/>
        <v>30.92057347175998</v>
      </c>
      <c r="BS156" s="1">
        <f t="shared" si="203"/>
        <v>0</v>
      </c>
      <c r="BT156" s="1">
        <f t="shared" si="204"/>
        <v>74.05786552221241</v>
      </c>
      <c r="BU156" s="1">
        <f t="shared" si="205"/>
        <v>1456.18920405</v>
      </c>
      <c r="BV156" s="1">
        <f t="shared" si="206"/>
        <v>1084.86095701725</v>
      </c>
      <c r="BW156" s="1">
        <f t="shared" si="207"/>
        <v>1906.1516681014498</v>
      </c>
      <c r="BX156" s="1">
        <f t="shared" si="208"/>
        <v>296.1740754</v>
      </c>
      <c r="BY156" s="1">
        <f t="shared" si="209"/>
        <v>188.3667119544</v>
      </c>
      <c r="BZ156" s="1">
        <f t="shared" si="210"/>
        <v>430.933279707</v>
      </c>
      <c r="CA156" s="1">
        <f t="shared" si="211"/>
        <v>2355.88706536176</v>
      </c>
      <c r="CB156" s="1">
        <f t="shared" si="212"/>
        <v>1848.777</v>
      </c>
      <c r="CC156" s="1">
        <f t="shared" si="213"/>
        <v>4048.0916719934517</v>
      </c>
      <c r="CD156" s="1">
        <f t="shared" si="176"/>
        <v>8881.524708</v>
      </c>
      <c r="CE156" s="1">
        <f t="shared" si="177"/>
        <v>7105.2197664000005</v>
      </c>
      <c r="CF156" s="1">
        <f t="shared" si="178"/>
        <v>11812.42786164</v>
      </c>
      <c r="CG156" t="s">
        <v>173</v>
      </c>
      <c r="CH156" s="21" t="s">
        <v>171</v>
      </c>
      <c r="CI156">
        <v>616259</v>
      </c>
      <c r="CJ156" s="102">
        <v>0.9454621</v>
      </c>
      <c r="CK156" s="1">
        <v>5.989036</v>
      </c>
      <c r="CL156" s="1">
        <f t="shared" si="214"/>
        <v>6.9344981</v>
      </c>
      <c r="CM156" s="1">
        <v>0.916617493559322</v>
      </c>
      <c r="CN156" s="1">
        <v>5.89282658634538</v>
      </c>
      <c r="CO156" s="1">
        <f t="shared" si="215"/>
        <v>6.809444079904702</v>
      </c>
      <c r="CP156" s="1">
        <f t="shared" si="179"/>
        <v>2.24439276873659</v>
      </c>
      <c r="CQ156" s="1">
        <f t="shared" si="180"/>
        <v>1.1882479919433704</v>
      </c>
      <c r="CR156" s="1">
        <f t="shared" si="181"/>
        <v>3.102382722804582</v>
      </c>
      <c r="CS156" s="1">
        <f t="shared" si="182"/>
        <v>0.3752459641748777</v>
      </c>
      <c r="CT156" s="1">
        <f t="shared" si="183"/>
        <v>0.04549657902427633</v>
      </c>
      <c r="CU156" s="1">
        <f t="shared" si="184"/>
        <v>0.7400010759379532</v>
      </c>
    </row>
    <row r="157" spans="1:99" ht="14.25" thickBot="1" thickTop="1">
      <c r="A157" t="s">
        <v>248</v>
      </c>
      <c r="B157" s="53">
        <v>1.3</v>
      </c>
      <c r="C157" s="51" t="s">
        <v>62</v>
      </c>
      <c r="D157" s="37">
        <v>4</v>
      </c>
      <c r="E157" s="38">
        <v>8</v>
      </c>
      <c r="F157" s="38">
        <v>67.1</v>
      </c>
      <c r="G157" s="38">
        <v>10</v>
      </c>
      <c r="H157" s="38">
        <v>6</v>
      </c>
      <c r="I157" s="30"/>
      <c r="J157" s="30"/>
      <c r="K157" s="30"/>
      <c r="L157" s="30"/>
      <c r="M157" s="30"/>
      <c r="P157" s="47" t="s">
        <v>62</v>
      </c>
      <c r="Q157" s="16">
        <f>SUM(B64:B89)</f>
        <v>43195523.828428514</v>
      </c>
      <c r="R157" s="42">
        <f t="shared" si="226"/>
        <v>0.11080473608360966</v>
      </c>
      <c r="S157" s="16">
        <f>SUM(S64:S89)</f>
        <v>4786268.617802294</v>
      </c>
      <c r="T157" s="16">
        <f t="shared" si="235"/>
        <v>550420.8910472639</v>
      </c>
      <c r="U157" s="15"/>
      <c r="V157" s="1">
        <f t="shared" si="185"/>
        <v>408.55500000000006</v>
      </c>
      <c r="W157" s="1">
        <f t="shared" si="186"/>
        <v>326.844</v>
      </c>
      <c r="X157" s="1">
        <f t="shared" si="187"/>
        <v>543.37815</v>
      </c>
      <c r="Y157" s="1">
        <f t="shared" si="188"/>
        <v>52.29504</v>
      </c>
      <c r="Z157" s="1">
        <f t="shared" si="189"/>
        <v>41.83603199999999</v>
      </c>
      <c r="AA157" s="1">
        <f t="shared" si="190"/>
        <v>69.55240320000001</v>
      </c>
      <c r="AB157" s="1">
        <f t="shared" si="219"/>
        <v>3042.88775712</v>
      </c>
      <c r="AC157" s="1">
        <f t="shared" si="220"/>
        <v>2434.3102056959997</v>
      </c>
      <c r="AD157" s="1">
        <f t="shared" si="221"/>
        <v>4047.0407169696</v>
      </c>
      <c r="AE157" s="1">
        <f t="shared" si="222"/>
        <v>1782.8719196400002</v>
      </c>
      <c r="AF157" s="1">
        <f t="shared" si="223"/>
        <v>1426.2975357120001</v>
      </c>
      <c r="AG157" s="1">
        <f t="shared" si="224"/>
        <v>2371.2196531212003</v>
      </c>
      <c r="AH157"/>
      <c r="AI157"/>
      <c r="AJ157"/>
      <c r="AK157"/>
      <c r="AL157"/>
      <c r="AM157"/>
      <c r="AN157"/>
      <c r="AP157" t="s">
        <v>174</v>
      </c>
      <c r="AQ157" s="21" t="s">
        <v>171</v>
      </c>
      <c r="AR157">
        <v>389100</v>
      </c>
      <c r="AS157" s="1">
        <f t="shared" si="225"/>
        <v>5836.5</v>
      </c>
      <c r="AT157" s="1">
        <f t="shared" si="227"/>
        <v>4669.2</v>
      </c>
      <c r="AU157" s="1">
        <f t="shared" si="228"/>
        <v>7762.545</v>
      </c>
      <c r="AV157" s="1">
        <f t="shared" si="216"/>
        <v>1558.3455000000001</v>
      </c>
      <c r="AW157" s="1">
        <f t="shared" si="217"/>
        <v>1167.3</v>
      </c>
      <c r="AX157" s="1">
        <f t="shared" si="218"/>
        <v>2725.6455</v>
      </c>
      <c r="AY157" s="1">
        <f t="shared" si="193"/>
        <v>285.1772265</v>
      </c>
      <c r="AZ157" s="1">
        <f t="shared" si="194"/>
        <v>166.70319952284</v>
      </c>
      <c r="BA157" s="1">
        <f t="shared" si="195"/>
        <v>393.65864346060005</v>
      </c>
      <c r="BB157" s="1">
        <f t="shared" si="196"/>
        <v>90.38403900000002</v>
      </c>
      <c r="BC157" s="1">
        <f t="shared" si="197"/>
        <v>0</v>
      </c>
      <c r="BD157" s="1">
        <f t="shared" si="198"/>
        <v>216.47881180890002</v>
      </c>
      <c r="BE157" s="1">
        <f t="shared" si="229"/>
        <v>919.423845</v>
      </c>
      <c r="BF157" s="1">
        <f t="shared" si="230"/>
        <v>684.970764525</v>
      </c>
      <c r="BG157" s="1">
        <f t="shared" si="231"/>
        <v>1203.525813105</v>
      </c>
      <c r="BH157" s="1">
        <f t="shared" si="232"/>
        <v>187.00146</v>
      </c>
      <c r="BI157" s="1">
        <f t="shared" si="233"/>
        <v>118.93292856000001</v>
      </c>
      <c r="BJ157" s="1">
        <f t="shared" si="234"/>
        <v>272.0871243</v>
      </c>
      <c r="BL157" s="2">
        <v>0.97</v>
      </c>
      <c r="BM157" s="2">
        <v>0</v>
      </c>
      <c r="BO157" s="1">
        <f t="shared" si="199"/>
        <v>285.1772265</v>
      </c>
      <c r="BP157" s="1">
        <f t="shared" si="200"/>
        <v>166.70319952284</v>
      </c>
      <c r="BQ157" s="1">
        <f t="shared" si="201"/>
        <v>393.65864346060005</v>
      </c>
      <c r="BR157" s="1">
        <f t="shared" si="202"/>
        <v>20.246024735999995</v>
      </c>
      <c r="BS157" s="1">
        <f t="shared" si="203"/>
        <v>0</v>
      </c>
      <c r="BT157" s="1">
        <f t="shared" si="204"/>
        <v>48.4912538451936</v>
      </c>
      <c r="BU157" s="1">
        <f t="shared" si="205"/>
        <v>919.423845</v>
      </c>
      <c r="BV157" s="1">
        <f t="shared" si="206"/>
        <v>684.970764525</v>
      </c>
      <c r="BW157" s="1">
        <f t="shared" si="207"/>
        <v>1203.525813105</v>
      </c>
      <c r="BX157" s="1">
        <f t="shared" si="208"/>
        <v>187.00146</v>
      </c>
      <c r="BY157" s="1">
        <f t="shared" si="209"/>
        <v>118.93292856000001</v>
      </c>
      <c r="BZ157" s="1">
        <f t="shared" si="210"/>
        <v>272.0871243</v>
      </c>
      <c r="CA157" s="1">
        <f t="shared" si="211"/>
        <v>1488.207485736</v>
      </c>
      <c r="CB157" s="1">
        <f t="shared" si="212"/>
        <v>1167.3</v>
      </c>
      <c r="CC157" s="1">
        <f t="shared" si="213"/>
        <v>2557.6579420362937</v>
      </c>
      <c r="CD157" s="1">
        <f t="shared" si="176"/>
        <v>5610.0438</v>
      </c>
      <c r="CE157" s="1">
        <f t="shared" si="177"/>
        <v>4488.03504</v>
      </c>
      <c r="CF157" s="1">
        <f t="shared" si="178"/>
        <v>7461.358254</v>
      </c>
      <c r="CG157" t="s">
        <v>174</v>
      </c>
      <c r="CH157" s="21" t="s">
        <v>171</v>
      </c>
      <c r="CI157">
        <v>389100</v>
      </c>
      <c r="CJ157" s="102">
        <v>3.128057</v>
      </c>
      <c r="CK157" s="1">
        <v>4.975978</v>
      </c>
      <c r="CL157" s="1">
        <f t="shared" si="214"/>
        <v>8.104035</v>
      </c>
      <c r="CM157" s="1">
        <v>2.98208100666667</v>
      </c>
      <c r="CN157" s="1">
        <v>4.51900042857143</v>
      </c>
      <c r="CO157" s="1">
        <f t="shared" si="215"/>
        <v>7.5010814352381</v>
      </c>
      <c r="CP157" s="1">
        <f t="shared" si="179"/>
        <v>2.472356441054478</v>
      </c>
      <c r="CQ157" s="1">
        <f t="shared" si="180"/>
        <v>1.3089387104490484</v>
      </c>
      <c r="CR157" s="1">
        <f t="shared" si="181"/>
        <v>3.4174927018944783</v>
      </c>
      <c r="CS157" s="1">
        <f t="shared" si="182"/>
        <v>0.42779630886726244</v>
      </c>
      <c r="CT157" s="1">
        <f t="shared" si="183"/>
        <v>0.051961032891108386</v>
      </c>
      <c r="CU157" s="1">
        <f t="shared" si="184"/>
        <v>0.8419656041544377</v>
      </c>
    </row>
    <row r="158" spans="1:99" ht="14.25" thickBot="1" thickTop="1">
      <c r="A158" t="s">
        <v>249</v>
      </c>
      <c r="B158" s="53">
        <v>1.8</v>
      </c>
      <c r="C158" s="51" t="s">
        <v>89</v>
      </c>
      <c r="D158" s="37">
        <v>6</v>
      </c>
      <c r="E158" s="38">
        <v>7.7</v>
      </c>
      <c r="F158" s="38">
        <v>47.6</v>
      </c>
      <c r="G158" s="38">
        <v>44.5</v>
      </c>
      <c r="H158" s="38">
        <v>12.3</v>
      </c>
      <c r="I158" s="30"/>
      <c r="J158" s="30"/>
      <c r="K158" s="30"/>
      <c r="L158" s="30"/>
      <c r="M158" s="30"/>
      <c r="P158" s="47" t="s">
        <v>89</v>
      </c>
      <c r="Q158" s="16">
        <f>SUM(B90:B95)</f>
        <v>9696357</v>
      </c>
      <c r="R158" s="42">
        <f t="shared" si="226"/>
        <v>0.17052291903807998</v>
      </c>
      <c r="S158" s="16">
        <f>SUM(S90:S95)</f>
        <v>1653451.09967532</v>
      </c>
      <c r="T158" s="16">
        <f t="shared" si="235"/>
        <v>190146.8764626618</v>
      </c>
      <c r="U158" s="15"/>
      <c r="V158" s="1">
        <f t="shared" si="185"/>
        <v>575.1942</v>
      </c>
      <c r="W158" s="1">
        <f t="shared" si="186"/>
        <v>460.15536000000003</v>
      </c>
      <c r="X158" s="1">
        <f t="shared" si="187"/>
        <v>765.0082860000001</v>
      </c>
      <c r="Y158" s="1">
        <f t="shared" si="188"/>
        <v>68.36593920000001</v>
      </c>
      <c r="Z158" s="1">
        <f t="shared" si="189"/>
        <v>54.69275135999999</v>
      </c>
      <c r="AA158" s="1">
        <f t="shared" si="190"/>
        <v>90.92669913600002</v>
      </c>
      <c r="AB158" s="1">
        <f t="shared" si="219"/>
        <v>4280.4387835776</v>
      </c>
      <c r="AC158" s="1">
        <f t="shared" si="220"/>
        <v>3424.3510268620803</v>
      </c>
      <c r="AD158" s="1">
        <f t="shared" si="221"/>
        <v>5692.983582158208</v>
      </c>
      <c r="AE158" s="1">
        <f t="shared" si="222"/>
        <v>2507.9709539472</v>
      </c>
      <c r="AF158" s="1">
        <f t="shared" si="223"/>
        <v>2006.3767631577603</v>
      </c>
      <c r="AG158" s="1">
        <f t="shared" si="224"/>
        <v>3335.601368749776</v>
      </c>
      <c r="AH158"/>
      <c r="AI158"/>
      <c r="AJ158"/>
      <c r="AK158"/>
      <c r="AL158"/>
      <c r="AM158"/>
      <c r="AN158"/>
      <c r="AP158" t="s">
        <v>175</v>
      </c>
      <c r="AQ158" s="21" t="s">
        <v>171</v>
      </c>
      <c r="AR158">
        <v>547804</v>
      </c>
      <c r="AS158" s="1">
        <f t="shared" si="225"/>
        <v>8217.06</v>
      </c>
      <c r="AT158" s="1">
        <f t="shared" si="227"/>
        <v>6573.648</v>
      </c>
      <c r="AU158" s="1">
        <f t="shared" si="228"/>
        <v>10928.6898</v>
      </c>
      <c r="AV158" s="1">
        <f t="shared" si="216"/>
        <v>2193.95502</v>
      </c>
      <c r="AW158" s="1">
        <f t="shared" si="217"/>
        <v>1643.412</v>
      </c>
      <c r="AX158" s="1">
        <f t="shared" si="218"/>
        <v>3837.36702</v>
      </c>
      <c r="AY158" s="1">
        <f t="shared" si="193"/>
        <v>401.49376865999994</v>
      </c>
      <c r="AZ158" s="1">
        <f t="shared" si="194"/>
        <v>234.69719740788955</v>
      </c>
      <c r="BA158" s="1">
        <f t="shared" si="195"/>
        <v>554.221998258264</v>
      </c>
      <c r="BB158" s="1">
        <f t="shared" si="196"/>
        <v>127.24939116</v>
      </c>
      <c r="BC158" s="1">
        <f t="shared" si="197"/>
        <v>0</v>
      </c>
      <c r="BD158" s="1">
        <f t="shared" si="198"/>
        <v>304.775016767316</v>
      </c>
      <c r="BE158" s="1">
        <f t="shared" si="229"/>
        <v>1294.4334617999998</v>
      </c>
      <c r="BF158" s="1">
        <f t="shared" si="230"/>
        <v>964.3529290409998</v>
      </c>
      <c r="BG158" s="1">
        <f t="shared" si="231"/>
        <v>1694.4134014961996</v>
      </c>
      <c r="BH158" s="1">
        <f t="shared" si="232"/>
        <v>263.2746024</v>
      </c>
      <c r="BI158" s="1">
        <f t="shared" si="233"/>
        <v>167.4426471264</v>
      </c>
      <c r="BJ158" s="1">
        <f t="shared" si="234"/>
        <v>383.06454649200003</v>
      </c>
      <c r="BL158" s="2">
        <v>0.99</v>
      </c>
      <c r="BM158" s="2">
        <v>0</v>
      </c>
      <c r="BO158" s="1">
        <f t="shared" si="199"/>
        <v>401.49376865999994</v>
      </c>
      <c r="BP158" s="1">
        <f t="shared" si="200"/>
        <v>234.69719740788955</v>
      </c>
      <c r="BQ158" s="1">
        <f t="shared" si="201"/>
        <v>554.221998258264</v>
      </c>
      <c r="BR158" s="1">
        <f t="shared" si="202"/>
        <v>26.467873361279985</v>
      </c>
      <c r="BS158" s="1">
        <f t="shared" si="203"/>
        <v>0</v>
      </c>
      <c r="BT158" s="1">
        <f t="shared" si="204"/>
        <v>63.39320348760171</v>
      </c>
      <c r="BU158" s="1">
        <f t="shared" si="205"/>
        <v>1294.4334617999998</v>
      </c>
      <c r="BV158" s="1">
        <f t="shared" si="206"/>
        <v>964.3529290409998</v>
      </c>
      <c r="BW158" s="1">
        <f t="shared" si="207"/>
        <v>1694.4134014961996</v>
      </c>
      <c r="BX158" s="1">
        <f t="shared" si="208"/>
        <v>263.2746024</v>
      </c>
      <c r="BY158" s="1">
        <f t="shared" si="209"/>
        <v>167.4426471264</v>
      </c>
      <c r="BZ158" s="1">
        <f t="shared" si="210"/>
        <v>383.06454649200003</v>
      </c>
      <c r="CA158" s="1">
        <f t="shared" si="211"/>
        <v>2093.17350220128</v>
      </c>
      <c r="CB158" s="1">
        <f t="shared" si="212"/>
        <v>1643.412</v>
      </c>
      <c r="CC158" s="1">
        <f t="shared" si="213"/>
        <v>3595.985206720286</v>
      </c>
      <c r="CD158" s="1">
        <f t="shared" si="176"/>
        <v>7891.664424</v>
      </c>
      <c r="CE158" s="1">
        <f t="shared" si="177"/>
        <v>6313.3315392</v>
      </c>
      <c r="CF158" s="1">
        <f t="shared" si="178"/>
        <v>10495.91368392</v>
      </c>
      <c r="CG158" t="s">
        <v>175</v>
      </c>
      <c r="CH158" s="21" t="s">
        <v>171</v>
      </c>
      <c r="CI158">
        <v>547804</v>
      </c>
      <c r="CJ158" s="102">
        <v>8.97192</v>
      </c>
      <c r="CK158" s="1">
        <v>14.8746</v>
      </c>
      <c r="CL158" s="1">
        <f t="shared" si="214"/>
        <v>23.846519999999998</v>
      </c>
      <c r="CM158" s="1">
        <v>9.70432163265306</v>
      </c>
      <c r="CN158" s="1">
        <v>12.89132</v>
      </c>
      <c r="CO158" s="1">
        <f t="shared" si="215"/>
        <v>22.595641632653063</v>
      </c>
      <c r="CP158" s="1">
        <f t="shared" si="179"/>
        <v>7.44752348212245</v>
      </c>
      <c r="CQ158" s="1">
        <f t="shared" si="180"/>
        <v>3.942939464897959</v>
      </c>
      <c r="CR158" s="1">
        <f t="shared" si="181"/>
        <v>10.294574327836736</v>
      </c>
      <c r="CS158" s="1">
        <f t="shared" si="182"/>
        <v>1.201505962223677</v>
      </c>
      <c r="CT158" s="1">
        <f t="shared" si="183"/>
        <v>0.14541487359220115</v>
      </c>
      <c r="CU158" s="1">
        <f t="shared" si="184"/>
        <v>2.3741408570218</v>
      </c>
    </row>
    <row r="159" spans="1:99" ht="13.5" customHeight="1" thickBot="1" thickTop="1">
      <c r="A159" t="s">
        <v>302</v>
      </c>
      <c r="B159" s="53">
        <v>1.99</v>
      </c>
      <c r="C159" s="51" t="s">
        <v>96</v>
      </c>
      <c r="D159" s="37">
        <v>5.3</v>
      </c>
      <c r="E159" s="38">
        <v>9</v>
      </c>
      <c r="F159" s="38">
        <v>74.4</v>
      </c>
      <c r="G159" s="38">
        <v>0.3</v>
      </c>
      <c r="H159" s="38">
        <v>14.7</v>
      </c>
      <c r="I159" s="30"/>
      <c r="J159" s="30"/>
      <c r="K159" s="30"/>
      <c r="L159" s="30"/>
      <c r="M159" s="30"/>
      <c r="P159" s="47" t="s">
        <v>96</v>
      </c>
      <c r="Q159" s="16">
        <f>SUM(B96:B108)</f>
        <v>15740557</v>
      </c>
      <c r="R159" s="42">
        <f t="shared" si="226"/>
        <v>0.1182257783979385</v>
      </c>
      <c r="S159" s="16">
        <f>SUM(S96:S108)</f>
        <v>1860939.6037421196</v>
      </c>
      <c r="T159" s="16">
        <f t="shared" si="235"/>
        <v>214008.05443034376</v>
      </c>
      <c r="U159" s="15"/>
      <c r="V159" s="1">
        <f t="shared" si="185"/>
        <v>167.59367856</v>
      </c>
      <c r="W159" s="1">
        <f t="shared" si="186"/>
        <v>134.07494284800003</v>
      </c>
      <c r="X159" s="1">
        <f t="shared" si="187"/>
        <v>222.89959248480002</v>
      </c>
      <c r="Y159" s="1">
        <f t="shared" si="188"/>
        <v>54.76917599999999</v>
      </c>
      <c r="Z159" s="1">
        <f t="shared" si="189"/>
        <v>43.8153408</v>
      </c>
      <c r="AA159" s="1">
        <f t="shared" si="190"/>
        <v>72.84300407999999</v>
      </c>
      <c r="AB159" s="1">
        <f t="shared" si="219"/>
        <v>2393.5193998848</v>
      </c>
      <c r="AC159" s="1">
        <f t="shared" si="220"/>
        <v>1914.8155199078399</v>
      </c>
      <c r="AD159" s="1">
        <f t="shared" si="221"/>
        <v>3183.3808018467844</v>
      </c>
      <c r="AE159" s="1">
        <f t="shared" si="222"/>
        <v>1402.3976129856</v>
      </c>
      <c r="AF159" s="1">
        <f t="shared" si="223"/>
        <v>1121.91809038848</v>
      </c>
      <c r="AG159" s="1">
        <f t="shared" si="224"/>
        <v>1865.1888252708484</v>
      </c>
      <c r="AH159"/>
      <c r="AI159"/>
      <c r="AJ159"/>
      <c r="AK159"/>
      <c r="AL159"/>
      <c r="AM159"/>
      <c r="AN159"/>
      <c r="AP159" t="s">
        <v>176</v>
      </c>
      <c r="AQ159" s="21" t="s">
        <v>171</v>
      </c>
      <c r="AR159">
        <v>326007</v>
      </c>
      <c r="AS159" s="1">
        <f t="shared" si="225"/>
        <v>4890.105</v>
      </c>
      <c r="AT159" s="1">
        <f t="shared" si="227"/>
        <v>3912.084</v>
      </c>
      <c r="AU159" s="1">
        <f t="shared" si="228"/>
        <v>6503.83965</v>
      </c>
      <c r="AV159" s="1">
        <f t="shared" si="216"/>
        <v>1305.658035</v>
      </c>
      <c r="AW159" s="1">
        <f t="shared" si="217"/>
        <v>978.021</v>
      </c>
      <c r="AX159" s="1">
        <f t="shared" si="218"/>
        <v>2283.679035</v>
      </c>
      <c r="AY159" s="1">
        <f t="shared" si="193"/>
        <v>238.93542040499997</v>
      </c>
      <c r="AZ159" s="1">
        <f t="shared" si="194"/>
        <v>139.67208935194677</v>
      </c>
      <c r="BA159" s="1">
        <f t="shared" si="195"/>
        <v>329.826454327062</v>
      </c>
      <c r="BB159" s="1">
        <f t="shared" si="196"/>
        <v>75.72816603</v>
      </c>
      <c r="BC159" s="1">
        <f t="shared" si="197"/>
        <v>0</v>
      </c>
      <c r="BD159" s="1">
        <f t="shared" si="198"/>
        <v>181.37653045845298</v>
      </c>
      <c r="BE159" s="1">
        <f t="shared" si="229"/>
        <v>770.3382406499999</v>
      </c>
      <c r="BF159" s="1">
        <f t="shared" si="230"/>
        <v>573.9019892842499</v>
      </c>
      <c r="BG159" s="1">
        <f t="shared" si="231"/>
        <v>1008.3727570108498</v>
      </c>
      <c r="BH159" s="1">
        <f t="shared" si="232"/>
        <v>156.6789642</v>
      </c>
      <c r="BI159" s="1">
        <f t="shared" si="233"/>
        <v>99.6478212312</v>
      </c>
      <c r="BJ159" s="1">
        <f t="shared" si="234"/>
        <v>227.967892911</v>
      </c>
      <c r="BL159" s="2">
        <v>0.9</v>
      </c>
      <c r="BM159" s="2">
        <v>0.88</v>
      </c>
      <c r="BO159" s="1">
        <f t="shared" si="199"/>
        <v>116.98278183028799</v>
      </c>
      <c r="BP159" s="1">
        <f t="shared" si="200"/>
        <v>68.38345494671314</v>
      </c>
      <c r="BQ159" s="1">
        <f t="shared" si="201"/>
        <v>161.48303203852956</v>
      </c>
      <c r="BR159" s="1">
        <f t="shared" si="202"/>
        <v>21.203886488399988</v>
      </c>
      <c r="BS159" s="1">
        <f t="shared" si="203"/>
        <v>0</v>
      </c>
      <c r="BT159" s="1">
        <f t="shared" si="204"/>
        <v>50.78542852836682</v>
      </c>
      <c r="BU159" s="1">
        <f t="shared" si="205"/>
        <v>770.3382406499999</v>
      </c>
      <c r="BV159" s="1">
        <f t="shared" si="206"/>
        <v>573.9019892842499</v>
      </c>
      <c r="BW159" s="1">
        <f t="shared" si="207"/>
        <v>1008.3727570108498</v>
      </c>
      <c r="BX159" s="1">
        <f t="shared" si="208"/>
        <v>156.6789642</v>
      </c>
      <c r="BY159" s="1">
        <f t="shared" si="209"/>
        <v>99.6478212312</v>
      </c>
      <c r="BZ159" s="1">
        <f t="shared" si="210"/>
        <v>227.967892911</v>
      </c>
      <c r="CA159" s="1">
        <f t="shared" si="211"/>
        <v>1129.181116883688</v>
      </c>
      <c r="CB159" s="1">
        <f t="shared" si="212"/>
        <v>906.7323655947663</v>
      </c>
      <c r="CC159" s="1">
        <f t="shared" si="213"/>
        <v>1984.7445107813815</v>
      </c>
      <c r="CD159" s="1">
        <f t="shared" si="176"/>
        <v>4412.830752</v>
      </c>
      <c r="CE159" s="1">
        <f t="shared" si="177"/>
        <v>3530.2646016</v>
      </c>
      <c r="CF159" s="1">
        <f t="shared" si="178"/>
        <v>5869.06490016</v>
      </c>
      <c r="CG159" t="s">
        <v>176</v>
      </c>
      <c r="CH159" s="21" t="s">
        <v>171</v>
      </c>
      <c r="CI159">
        <v>326007</v>
      </c>
      <c r="CJ159" s="102">
        <v>0.924232</v>
      </c>
      <c r="CK159" s="1">
        <v>4.814609</v>
      </c>
      <c r="CL159" s="1">
        <f t="shared" si="214"/>
        <v>5.738841</v>
      </c>
      <c r="CM159" s="1">
        <v>0.883542540880503</v>
      </c>
      <c r="CN159" s="1">
        <v>4.42554968686869</v>
      </c>
      <c r="CO159" s="1">
        <f t="shared" si="215"/>
        <v>5.309092227749193</v>
      </c>
      <c r="CP159" s="1">
        <f t="shared" si="179"/>
        <v>1.0300172590906376</v>
      </c>
      <c r="CQ159" s="1">
        <f t="shared" si="180"/>
        <v>0.49793152827577397</v>
      </c>
      <c r="CR159" s="1">
        <f t="shared" si="181"/>
        <v>1.5430807345033792</v>
      </c>
      <c r="CS159" s="1">
        <f t="shared" si="182"/>
        <v>0.3731599877834408</v>
      </c>
      <c r="CT159" s="1">
        <f t="shared" si="183"/>
        <v>0.045891549735291345</v>
      </c>
      <c r="CU159" s="1">
        <f t="shared" si="184"/>
        <v>0.724572201409485</v>
      </c>
    </row>
    <row r="160" spans="3:99" ht="13.5" customHeight="1" thickTop="1">
      <c r="C160" s="50" t="s">
        <v>110</v>
      </c>
      <c r="D160" s="37">
        <v>31</v>
      </c>
      <c r="E160" s="38">
        <v>8</v>
      </c>
      <c r="F160" s="38">
        <v>73.8</v>
      </c>
      <c r="G160" s="38">
        <v>36</v>
      </c>
      <c r="H160" s="38">
        <v>32.6</v>
      </c>
      <c r="I160" s="30"/>
      <c r="J160" s="30"/>
      <c r="K160" s="30"/>
      <c r="L160" s="30"/>
      <c r="M160" s="30"/>
      <c r="P160" s="47" t="s">
        <v>110</v>
      </c>
      <c r="Q160" s="16">
        <f>SUM(B109:B117)</f>
        <v>56411408</v>
      </c>
      <c r="R160" s="42">
        <f t="shared" si="226"/>
        <v>0.26647616482129427</v>
      </c>
      <c r="S160" s="16">
        <f>SUM(S109:S117)</f>
        <v>15032295.65600928</v>
      </c>
      <c r="T160" s="16">
        <f t="shared" si="235"/>
        <v>1728714.0004410672</v>
      </c>
      <c r="U160" s="15"/>
      <c r="V160" s="1">
        <f t="shared" si="185"/>
        <v>82.14045</v>
      </c>
      <c r="W160" s="1">
        <f t="shared" si="186"/>
        <v>65.71236</v>
      </c>
      <c r="X160" s="1">
        <f t="shared" si="187"/>
        <v>109.24679850000001</v>
      </c>
      <c r="Y160" s="1">
        <f t="shared" si="188"/>
        <v>11.640475200000004</v>
      </c>
      <c r="Z160" s="1">
        <f t="shared" si="189"/>
        <v>9.31238016</v>
      </c>
      <c r="AA160" s="1">
        <f t="shared" si="190"/>
        <v>15.481832015999998</v>
      </c>
      <c r="AB160" s="1">
        <f t="shared" si="219"/>
        <v>612.5398289856</v>
      </c>
      <c r="AC160" s="1">
        <f t="shared" si="220"/>
        <v>490.03186318848003</v>
      </c>
      <c r="AD160" s="1">
        <f t="shared" si="221"/>
        <v>814.677972550848</v>
      </c>
      <c r="AE160" s="1">
        <f t="shared" si="222"/>
        <v>358.89593962320004</v>
      </c>
      <c r="AF160" s="1">
        <f t="shared" si="223"/>
        <v>287.11675169856005</v>
      </c>
      <c r="AG160" s="1">
        <f t="shared" si="224"/>
        <v>477.3315996988561</v>
      </c>
      <c r="AH160"/>
      <c r="AI160"/>
      <c r="AJ160"/>
      <c r="AK160"/>
      <c r="AL160"/>
      <c r="AM160"/>
      <c r="AN160"/>
      <c r="AP160" t="s">
        <v>215</v>
      </c>
      <c r="AQ160" s="21" t="s">
        <v>171</v>
      </c>
      <c r="AR160">
        <v>78229</v>
      </c>
      <c r="AS160" s="1">
        <f t="shared" si="225"/>
        <v>1173.435</v>
      </c>
      <c r="AT160" s="1">
        <f t="shared" si="227"/>
        <v>938.748</v>
      </c>
      <c r="AU160" s="1">
        <f t="shared" si="228"/>
        <v>1560.66855</v>
      </c>
      <c r="AV160" s="1">
        <f t="shared" si="216"/>
        <v>313.307145</v>
      </c>
      <c r="AW160" s="1">
        <f t="shared" si="217"/>
        <v>234.687</v>
      </c>
      <c r="AX160" s="1">
        <f t="shared" si="218"/>
        <v>547.994145</v>
      </c>
      <c r="AY160" s="1">
        <f t="shared" si="193"/>
        <v>57.335207534999995</v>
      </c>
      <c r="AZ160" s="1">
        <f t="shared" si="194"/>
        <v>33.51586891665959</v>
      </c>
      <c r="BA160" s="1">
        <f t="shared" si="195"/>
        <v>79.145520481314</v>
      </c>
      <c r="BB160" s="1">
        <f t="shared" si="196"/>
        <v>18.17181441</v>
      </c>
      <c r="BC160" s="1">
        <f t="shared" si="197"/>
        <v>0</v>
      </c>
      <c r="BD160" s="1">
        <f t="shared" si="198"/>
        <v>43.523312693391</v>
      </c>
      <c r="BE160" s="1">
        <f t="shared" si="229"/>
        <v>184.85121554999998</v>
      </c>
      <c r="BF160" s="1">
        <f t="shared" si="230"/>
        <v>137.71415558475</v>
      </c>
      <c r="BG160" s="1">
        <f t="shared" si="231"/>
        <v>241.97024115494997</v>
      </c>
      <c r="BH160" s="1">
        <f t="shared" si="232"/>
        <v>37.5968574</v>
      </c>
      <c r="BI160" s="1">
        <f t="shared" si="233"/>
        <v>23.911601306399998</v>
      </c>
      <c r="BJ160" s="1">
        <f t="shared" si="234"/>
        <v>54.703427517</v>
      </c>
      <c r="BL160" s="2">
        <v>0.94</v>
      </c>
      <c r="BM160" s="2">
        <v>0</v>
      </c>
      <c r="BO160" s="1">
        <f t="shared" si="199"/>
        <v>57.335207534999995</v>
      </c>
      <c r="BP160" s="1">
        <f t="shared" si="200"/>
        <v>33.51586891665959</v>
      </c>
      <c r="BQ160" s="1">
        <f t="shared" si="201"/>
        <v>79.145520481314</v>
      </c>
      <c r="BR160" s="1">
        <f t="shared" si="202"/>
        <v>4.50660997368</v>
      </c>
      <c r="BS160" s="1">
        <f t="shared" si="203"/>
        <v>0</v>
      </c>
      <c r="BT160" s="1">
        <f t="shared" si="204"/>
        <v>10.793781547960968</v>
      </c>
      <c r="BU160" s="1">
        <f t="shared" si="205"/>
        <v>184.85121554999998</v>
      </c>
      <c r="BV160" s="1">
        <f t="shared" si="206"/>
        <v>137.71415558475</v>
      </c>
      <c r="BW160" s="1">
        <f t="shared" si="207"/>
        <v>241.97024115494997</v>
      </c>
      <c r="BX160" s="1">
        <f t="shared" si="208"/>
        <v>37.5968574</v>
      </c>
      <c r="BY160" s="1">
        <f t="shared" si="209"/>
        <v>23.911601306399998</v>
      </c>
      <c r="BZ160" s="1">
        <f t="shared" si="210"/>
        <v>54.703427517</v>
      </c>
      <c r="CA160" s="1">
        <f t="shared" si="211"/>
        <v>299.64194056368</v>
      </c>
      <c r="CB160" s="1">
        <f t="shared" si="212"/>
        <v>234.687</v>
      </c>
      <c r="CC160" s="1">
        <f t="shared" si="213"/>
        <v>515.2646138545699</v>
      </c>
      <c r="CD160" s="1">
        <f t="shared" si="176"/>
        <v>1129.313844</v>
      </c>
      <c r="CE160" s="1">
        <f t="shared" si="177"/>
        <v>903.4510752000001</v>
      </c>
      <c r="CF160" s="1">
        <f t="shared" si="178"/>
        <v>1501.9874125200001</v>
      </c>
      <c r="CG160" t="s">
        <v>215</v>
      </c>
      <c r="CH160" s="21" t="s">
        <v>171</v>
      </c>
      <c r="CI160">
        <v>78229</v>
      </c>
      <c r="CJ160" s="102">
        <v>1.239172</v>
      </c>
      <c r="CK160" s="1">
        <v>1.197102</v>
      </c>
      <c r="CL160" s="1">
        <f t="shared" si="214"/>
        <v>2.436274</v>
      </c>
      <c r="CM160" s="1">
        <v>0.963800444444444</v>
      </c>
      <c r="CN160" s="1">
        <v>0.98760915</v>
      </c>
      <c r="CO160" s="1">
        <f t="shared" si="215"/>
        <v>1.951409594444444</v>
      </c>
      <c r="CP160" s="1">
        <f t="shared" si="179"/>
        <v>0.6431846023288887</v>
      </c>
      <c r="CQ160" s="1">
        <f t="shared" si="180"/>
        <v>0.34052097423055544</v>
      </c>
      <c r="CR160" s="1">
        <f t="shared" si="181"/>
        <v>0.8890622112288887</v>
      </c>
      <c r="CS160" s="1">
        <f t="shared" si="182"/>
        <v>0.12246713891217645</v>
      </c>
      <c r="CT160" s="1">
        <f t="shared" si="183"/>
        <v>0.014954909270037363</v>
      </c>
      <c r="CU160" s="1">
        <f t="shared" si="184"/>
        <v>0.23962424061909587</v>
      </c>
    </row>
    <row r="161" spans="3:99" ht="13.5" customHeight="1">
      <c r="C161" s="50" t="s">
        <v>120</v>
      </c>
      <c r="D161" s="37">
        <v>19.5</v>
      </c>
      <c r="E161" s="38">
        <v>6.3</v>
      </c>
      <c r="F161" s="38">
        <v>48.7</v>
      </c>
      <c r="G161" s="38">
        <v>61.5</v>
      </c>
      <c r="H161" s="38">
        <v>4.7</v>
      </c>
      <c r="I161" s="30"/>
      <c r="J161" s="30"/>
      <c r="K161" s="30"/>
      <c r="L161" s="30"/>
      <c r="M161" s="30"/>
      <c r="P161" s="47" t="s">
        <v>120</v>
      </c>
      <c r="Q161" s="16">
        <f>SUM(B118:B121)</f>
        <v>28025101</v>
      </c>
      <c r="R161" s="42">
        <f t="shared" si="226"/>
        <v>0.18145592768300672</v>
      </c>
      <c r="S161" s="16">
        <f>SUM(S118:S121)</f>
        <v>5085320.700364959</v>
      </c>
      <c r="T161" s="16">
        <f t="shared" si="235"/>
        <v>584811.8805419704</v>
      </c>
      <c r="U161" s="15"/>
      <c r="V161" s="1">
        <f t="shared" si="185"/>
        <v>314.45085</v>
      </c>
      <c r="W161" s="1">
        <f t="shared" si="186"/>
        <v>251.56068000000005</v>
      </c>
      <c r="X161" s="1">
        <f t="shared" si="187"/>
        <v>418.2196305</v>
      </c>
      <c r="Y161" s="1">
        <f t="shared" si="188"/>
        <v>37.374729599999995</v>
      </c>
      <c r="Z161" s="1">
        <f t="shared" si="189"/>
        <v>29.899783679999985</v>
      </c>
      <c r="AA161" s="1">
        <f t="shared" si="190"/>
        <v>49.70839036799998</v>
      </c>
      <c r="AB161" s="1">
        <f t="shared" si="219"/>
        <v>2340.0576950688</v>
      </c>
      <c r="AC161" s="1">
        <f t="shared" si="220"/>
        <v>1872.04615605504</v>
      </c>
      <c r="AD161" s="1">
        <f t="shared" si="221"/>
        <v>3112.276734441504</v>
      </c>
      <c r="AE161" s="1">
        <f t="shared" si="222"/>
        <v>1371.0736273836</v>
      </c>
      <c r="AF161" s="1">
        <f t="shared" si="223"/>
        <v>1096.8589019068802</v>
      </c>
      <c r="AG161" s="1">
        <f t="shared" si="224"/>
        <v>1823.527924420188</v>
      </c>
      <c r="AH161"/>
      <c r="AI161"/>
      <c r="AJ161"/>
      <c r="AK161"/>
      <c r="AL161"/>
      <c r="AM161"/>
      <c r="AN161"/>
      <c r="AP161" t="s">
        <v>177</v>
      </c>
      <c r="AQ161" s="21" t="s">
        <v>171</v>
      </c>
      <c r="AR161">
        <v>299477</v>
      </c>
      <c r="AS161" s="1">
        <f t="shared" si="225"/>
        <v>4492.155</v>
      </c>
      <c r="AT161" s="1">
        <f t="shared" si="227"/>
        <v>3593.724</v>
      </c>
      <c r="AU161" s="1">
        <f t="shared" si="228"/>
        <v>5974.56615</v>
      </c>
      <c r="AV161" s="1">
        <f t="shared" si="216"/>
        <v>1199.405385</v>
      </c>
      <c r="AW161" s="1">
        <f t="shared" si="217"/>
        <v>898.431</v>
      </c>
      <c r="AX161" s="1">
        <f t="shared" si="218"/>
        <v>2097.836385</v>
      </c>
      <c r="AY161" s="1">
        <f t="shared" si="193"/>
        <v>219.491185455</v>
      </c>
      <c r="AZ161" s="1">
        <f t="shared" si="194"/>
        <v>128.3057673695748</v>
      </c>
      <c r="BA161" s="1">
        <f t="shared" si="195"/>
        <v>302.985632402082</v>
      </c>
      <c r="BB161" s="1">
        <f t="shared" si="196"/>
        <v>69.56551233</v>
      </c>
      <c r="BC161" s="1">
        <f t="shared" si="197"/>
        <v>0</v>
      </c>
      <c r="BD161" s="1">
        <f t="shared" si="198"/>
        <v>166.616358581583</v>
      </c>
      <c r="BE161" s="1">
        <f t="shared" si="229"/>
        <v>707.64917715</v>
      </c>
      <c r="BF161" s="1">
        <f t="shared" si="230"/>
        <v>527.19863697675</v>
      </c>
      <c r="BG161" s="1">
        <f t="shared" si="231"/>
        <v>926.31277288935</v>
      </c>
      <c r="BH161" s="1">
        <f t="shared" si="232"/>
        <v>143.9286462</v>
      </c>
      <c r="BI161" s="1">
        <f t="shared" si="233"/>
        <v>91.53861898320001</v>
      </c>
      <c r="BJ161" s="1">
        <f t="shared" si="234"/>
        <v>209.41618022100002</v>
      </c>
      <c r="BL161" s="2">
        <v>0.99</v>
      </c>
      <c r="BM161" s="2">
        <v>0</v>
      </c>
      <c r="BO161" s="1">
        <f t="shared" si="199"/>
        <v>219.491185455</v>
      </c>
      <c r="BP161" s="1">
        <f t="shared" si="200"/>
        <v>128.3057673695748</v>
      </c>
      <c r="BQ161" s="1">
        <f t="shared" si="201"/>
        <v>302.985632402082</v>
      </c>
      <c r="BR161" s="1">
        <f t="shared" si="202"/>
        <v>14.469626564639995</v>
      </c>
      <c r="BS161" s="1">
        <f t="shared" si="203"/>
        <v>0</v>
      </c>
      <c r="BT161" s="1">
        <f t="shared" si="204"/>
        <v>34.656202584969265</v>
      </c>
      <c r="BU161" s="1">
        <f t="shared" si="205"/>
        <v>707.64917715</v>
      </c>
      <c r="BV161" s="1">
        <f t="shared" si="206"/>
        <v>527.19863697675</v>
      </c>
      <c r="BW161" s="1">
        <f t="shared" si="207"/>
        <v>926.31277288935</v>
      </c>
      <c r="BX161" s="1">
        <f t="shared" si="208"/>
        <v>143.9286462</v>
      </c>
      <c r="BY161" s="1">
        <f t="shared" si="209"/>
        <v>91.53861898320001</v>
      </c>
      <c r="BZ161" s="1">
        <f t="shared" si="210"/>
        <v>209.41618022100002</v>
      </c>
      <c r="CA161" s="1">
        <f t="shared" si="211"/>
        <v>1144.30949923464</v>
      </c>
      <c r="CB161" s="1">
        <f t="shared" si="212"/>
        <v>898.431</v>
      </c>
      <c r="CC161" s="1">
        <f t="shared" si="213"/>
        <v>1965.8762290033862</v>
      </c>
      <c r="CD161" s="1">
        <f t="shared" si="176"/>
        <v>4314.265662</v>
      </c>
      <c r="CE161" s="1">
        <f t="shared" si="177"/>
        <v>3451.4125296</v>
      </c>
      <c r="CF161" s="1">
        <f t="shared" si="178"/>
        <v>5737.9733304599995</v>
      </c>
      <c r="CG161" t="s">
        <v>177</v>
      </c>
      <c r="CH161" s="21" t="s">
        <v>171</v>
      </c>
      <c r="CI161">
        <v>299477</v>
      </c>
      <c r="CJ161" s="102">
        <v>3.527258</v>
      </c>
      <c r="CK161" s="1">
        <v>3.302083</v>
      </c>
      <c r="CL161" s="1">
        <f t="shared" si="214"/>
        <v>6.829340999999999</v>
      </c>
      <c r="CM161" s="1">
        <v>3.32376234615385</v>
      </c>
      <c r="CN161" s="1">
        <v>3.302083</v>
      </c>
      <c r="CO161" s="1">
        <f t="shared" si="215"/>
        <v>6.6258453461538505</v>
      </c>
      <c r="CP161" s="1">
        <f t="shared" si="179"/>
        <v>2.183878626092309</v>
      </c>
      <c r="CQ161" s="1">
        <f t="shared" si="180"/>
        <v>1.1562100129038468</v>
      </c>
      <c r="CR161" s="1">
        <f t="shared" si="181"/>
        <v>3.0187351397076942</v>
      </c>
      <c r="CS161" s="1">
        <f t="shared" si="182"/>
        <v>0.35232425870444806</v>
      </c>
      <c r="CT161" s="1">
        <f t="shared" si="183"/>
        <v>0.04264081007817381</v>
      </c>
      <c r="CU161" s="1">
        <f t="shared" si="184"/>
        <v>0.6961824941443183</v>
      </c>
    </row>
    <row r="162" spans="3:99" ht="13.5" customHeight="1">
      <c r="C162" s="50" t="s">
        <v>124</v>
      </c>
      <c r="D162" s="37">
        <v>23</v>
      </c>
      <c r="E162" s="38">
        <v>9</v>
      </c>
      <c r="F162" s="38">
        <v>41.7</v>
      </c>
      <c r="G162" s="38">
        <v>72.8</v>
      </c>
      <c r="H162" s="38">
        <v>9.7</v>
      </c>
      <c r="I162" s="30"/>
      <c r="J162" s="30"/>
      <c r="K162" s="30"/>
      <c r="L162" s="30"/>
      <c r="M162" s="30"/>
      <c r="P162" s="47" t="s">
        <v>124</v>
      </c>
      <c r="Q162" s="16">
        <f>SUM(B122:B128)</f>
        <v>151930986</v>
      </c>
      <c r="R162" s="42">
        <f t="shared" si="226"/>
        <v>0.27959392157202456</v>
      </c>
      <c r="S162" s="16">
        <f>SUM(S122:S128)</f>
        <v>42478980.18404436</v>
      </c>
      <c r="T162" s="16">
        <f t="shared" si="235"/>
        <v>4885082.721165102</v>
      </c>
      <c r="U162" s="15"/>
      <c r="V162" s="1">
        <f t="shared" si="185"/>
        <v>2018.9737436400005</v>
      </c>
      <c r="W162" s="1">
        <f t="shared" si="186"/>
        <v>1615.1789949120005</v>
      </c>
      <c r="X162" s="1">
        <f t="shared" si="187"/>
        <v>2685.2350790412</v>
      </c>
      <c r="Y162" s="1">
        <f t="shared" si="188"/>
        <v>534.1641983999998</v>
      </c>
      <c r="Z162" s="1">
        <f t="shared" si="189"/>
        <v>427.33135872</v>
      </c>
      <c r="AA162" s="1">
        <f t="shared" si="190"/>
        <v>710.438383872</v>
      </c>
      <c r="AB162" s="1">
        <f t="shared" si="219"/>
        <v>29066.8405539744</v>
      </c>
      <c r="AC162" s="1">
        <f t="shared" si="220"/>
        <v>23253.472443179522</v>
      </c>
      <c r="AD162" s="1">
        <f t="shared" si="221"/>
        <v>38658.89793678596</v>
      </c>
      <c r="AE162" s="1">
        <f t="shared" si="222"/>
        <v>17030.682020746804</v>
      </c>
      <c r="AF162" s="1">
        <f t="shared" si="223"/>
        <v>13624.545616597443</v>
      </c>
      <c r="AG162" s="1">
        <f t="shared" si="224"/>
        <v>22650.80708759325</v>
      </c>
      <c r="AP162" t="s">
        <v>178</v>
      </c>
      <c r="AQ162" s="21" t="s">
        <v>171</v>
      </c>
      <c r="AR162">
        <v>3974436</v>
      </c>
      <c r="AS162" s="1">
        <f t="shared" si="225"/>
        <v>59616.54</v>
      </c>
      <c r="AT162" s="1">
        <f t="shared" si="227"/>
        <v>47693.232</v>
      </c>
      <c r="AU162" s="1">
        <f t="shared" si="228"/>
        <v>79289.9982</v>
      </c>
      <c r="AV162" s="1">
        <f t="shared" si="216"/>
        <v>15917.61618</v>
      </c>
      <c r="AW162" s="1">
        <f t="shared" si="217"/>
        <v>11923.308</v>
      </c>
      <c r="AX162" s="1">
        <f t="shared" si="218"/>
        <v>27840.92418</v>
      </c>
      <c r="AY162" s="1">
        <f t="shared" si="193"/>
        <v>2912.92376094</v>
      </c>
      <c r="AZ162" s="1">
        <f t="shared" si="194"/>
        <v>1702.7787136950865</v>
      </c>
      <c r="BA162" s="1">
        <f t="shared" si="195"/>
        <v>4020.9999596015764</v>
      </c>
      <c r="BB162" s="1">
        <f t="shared" si="196"/>
        <v>923.2217384400001</v>
      </c>
      <c r="BC162" s="1">
        <f t="shared" si="197"/>
        <v>0</v>
      </c>
      <c r="BD162" s="1">
        <f t="shared" si="198"/>
        <v>2211.208385737644</v>
      </c>
      <c r="BE162" s="1">
        <f t="shared" si="229"/>
        <v>9391.3935462</v>
      </c>
      <c r="BF162" s="1">
        <f t="shared" si="230"/>
        <v>6996.588191919001</v>
      </c>
      <c r="BG162" s="1">
        <f t="shared" si="231"/>
        <v>12293.334151975801</v>
      </c>
      <c r="BH162" s="1">
        <f t="shared" si="232"/>
        <v>1910.1139416</v>
      </c>
      <c r="BI162" s="1">
        <f t="shared" si="233"/>
        <v>1214.8324668576001</v>
      </c>
      <c r="BJ162" s="1">
        <f t="shared" si="234"/>
        <v>2779.2157850280005</v>
      </c>
      <c r="BL162" s="2">
        <v>0.97</v>
      </c>
      <c r="BM162" s="2">
        <v>0.89</v>
      </c>
      <c r="BO162" s="1">
        <f t="shared" si="199"/>
        <v>1409.2725155427722</v>
      </c>
      <c r="BP162" s="1">
        <f t="shared" si="200"/>
        <v>823.8043416856829</v>
      </c>
      <c r="BQ162" s="1">
        <f t="shared" si="201"/>
        <v>1945.3597804552428</v>
      </c>
      <c r="BR162" s="1">
        <f t="shared" si="202"/>
        <v>206.80166941055995</v>
      </c>
      <c r="BS162" s="1">
        <f t="shared" si="203"/>
        <v>0</v>
      </c>
      <c r="BT162" s="1">
        <f t="shared" si="204"/>
        <v>495.310678405232</v>
      </c>
      <c r="BU162" s="1">
        <f t="shared" si="205"/>
        <v>9391.3935462</v>
      </c>
      <c r="BV162" s="1">
        <f t="shared" si="206"/>
        <v>6996.588191919001</v>
      </c>
      <c r="BW162" s="1">
        <f t="shared" si="207"/>
        <v>12293.334151975801</v>
      </c>
      <c r="BX162" s="1">
        <f t="shared" si="208"/>
        <v>1910.1139416</v>
      </c>
      <c r="BY162" s="1">
        <f t="shared" si="209"/>
        <v>1214.8324668576001</v>
      </c>
      <c r="BZ162" s="1">
        <f t="shared" si="210"/>
        <v>2779.2157850280005</v>
      </c>
      <c r="CA162" s="1">
        <f t="shared" si="211"/>
        <v>13697.544865573333</v>
      </c>
      <c r="CB162" s="1">
        <f t="shared" si="212"/>
        <v>11044.333627990598</v>
      </c>
      <c r="CC162" s="1">
        <f t="shared" si="213"/>
        <v>24049.386293521256</v>
      </c>
      <c r="CD162" s="1">
        <f t="shared" si="176"/>
        <v>53589.307806000004</v>
      </c>
      <c r="CE162" s="1">
        <f t="shared" si="177"/>
        <v>42871.446244800005</v>
      </c>
      <c r="CF162" s="1">
        <f t="shared" si="178"/>
        <v>71273.77938198001</v>
      </c>
      <c r="CG162" t="s">
        <v>178</v>
      </c>
      <c r="CH162" s="21" t="s">
        <v>171</v>
      </c>
      <c r="CI162">
        <v>3974436</v>
      </c>
      <c r="CJ162" s="102">
        <v>3.019349</v>
      </c>
      <c r="CK162" s="1">
        <v>58.20214</v>
      </c>
      <c r="CL162" s="1">
        <f t="shared" si="214"/>
        <v>61.221489</v>
      </c>
      <c r="CM162" s="1">
        <v>3.02779709457191</v>
      </c>
      <c r="CN162" s="1">
        <v>57.7738968294314</v>
      </c>
      <c r="CO162" s="1">
        <f t="shared" si="215"/>
        <v>60.80169392400331</v>
      </c>
      <c r="CP162" s="1">
        <f t="shared" si="179"/>
        <v>11.68324981319107</v>
      </c>
      <c r="CQ162" s="1">
        <f t="shared" si="180"/>
        <v>5.641210214704434</v>
      </c>
      <c r="CR162" s="1">
        <f t="shared" si="181"/>
        <v>17.522918090544454</v>
      </c>
      <c r="CS162" s="1">
        <f t="shared" si="182"/>
        <v>3.4675987000186512</v>
      </c>
      <c r="CT162" s="1">
        <f t="shared" si="183"/>
        <v>0.42118177826714365</v>
      </c>
      <c r="CU162" s="1">
        <f t="shared" si="184"/>
        <v>6.824740592449212</v>
      </c>
    </row>
    <row r="163" spans="3:99" ht="13.5" customHeight="1">
      <c r="C163" s="50" t="s">
        <v>132</v>
      </c>
      <c r="D163" s="37">
        <v>12.5</v>
      </c>
      <c r="E163" s="38">
        <v>10</v>
      </c>
      <c r="F163" s="38">
        <v>54.5</v>
      </c>
      <c r="G163" s="38">
        <v>41</v>
      </c>
      <c r="H163" s="38">
        <v>7</v>
      </c>
      <c r="I163" s="30"/>
      <c r="J163" s="30"/>
      <c r="K163" s="30"/>
      <c r="L163" s="30"/>
      <c r="M163" s="30"/>
      <c r="P163" s="47" t="s">
        <v>132</v>
      </c>
      <c r="Q163" s="16">
        <f>SUM(B129:B150)</f>
        <v>108943351.21087606</v>
      </c>
      <c r="R163" s="42">
        <f t="shared" si="226"/>
        <v>0.1113623020360634</v>
      </c>
      <c r="S163" s="16">
        <f>SUM(S129:S150)</f>
        <v>12132182.382366514</v>
      </c>
      <c r="T163" s="16">
        <f t="shared" si="235"/>
        <v>1395200.9739721492</v>
      </c>
      <c r="U163" s="15"/>
      <c r="V163" s="1">
        <f t="shared" si="185"/>
        <v>3450.0649806</v>
      </c>
      <c r="W163" s="1">
        <f t="shared" si="186"/>
        <v>2760.0519844800006</v>
      </c>
      <c r="X163" s="1">
        <f t="shared" si="187"/>
        <v>4588.586424198001</v>
      </c>
      <c r="Y163" s="1">
        <f t="shared" si="188"/>
        <v>515.8509119999999</v>
      </c>
      <c r="Z163" s="1">
        <f t="shared" si="189"/>
        <v>412.68072959999995</v>
      </c>
      <c r="AA163" s="1">
        <f t="shared" si="190"/>
        <v>686.08171296</v>
      </c>
      <c r="AB163" s="1">
        <f t="shared" si="219"/>
        <v>26967.179727503997</v>
      </c>
      <c r="AC163" s="1">
        <f t="shared" si="220"/>
        <v>21573.743782003203</v>
      </c>
      <c r="AD163" s="1">
        <f t="shared" si="221"/>
        <v>35866.34903758032</v>
      </c>
      <c r="AE163" s="1">
        <f t="shared" si="222"/>
        <v>15800.460393438001</v>
      </c>
      <c r="AF163" s="1">
        <f t="shared" si="223"/>
        <v>12640.368314750402</v>
      </c>
      <c r="AG163" s="1">
        <f t="shared" si="224"/>
        <v>21014.612323272544</v>
      </c>
      <c r="AP163" t="s">
        <v>179</v>
      </c>
      <c r="AQ163" s="21" t="s">
        <v>171</v>
      </c>
      <c r="AR163">
        <v>3466740</v>
      </c>
      <c r="AS163" s="1">
        <f t="shared" si="225"/>
        <v>52001.1</v>
      </c>
      <c r="AT163" s="1">
        <f t="shared" si="227"/>
        <v>41600.880000000005</v>
      </c>
      <c r="AU163" s="1">
        <f t="shared" si="228"/>
        <v>69161.463</v>
      </c>
      <c r="AV163" s="1">
        <f t="shared" si="216"/>
        <v>13884.2937</v>
      </c>
      <c r="AW163" s="1">
        <f t="shared" si="217"/>
        <v>10400.220000000001</v>
      </c>
      <c r="AX163" s="1">
        <f t="shared" si="218"/>
        <v>24284.5137</v>
      </c>
      <c r="AY163" s="1">
        <f t="shared" si="193"/>
        <v>2540.8257471</v>
      </c>
      <c r="AZ163" s="1">
        <f t="shared" si="194"/>
        <v>1485.265098724776</v>
      </c>
      <c r="BA163" s="1">
        <f t="shared" si="195"/>
        <v>3507.3558612968404</v>
      </c>
      <c r="BB163" s="1">
        <f t="shared" si="196"/>
        <v>805.2890346</v>
      </c>
      <c r="BC163" s="1">
        <f t="shared" si="197"/>
        <v>0</v>
      </c>
      <c r="BD163" s="1">
        <f t="shared" si="198"/>
        <v>1928.74776677046</v>
      </c>
      <c r="BE163" s="1">
        <f t="shared" si="229"/>
        <v>8191.733283</v>
      </c>
      <c r="BF163" s="1">
        <f t="shared" si="230"/>
        <v>6102.841295835</v>
      </c>
      <c r="BG163" s="1">
        <f t="shared" si="231"/>
        <v>10722.978867446998</v>
      </c>
      <c r="BH163" s="1">
        <f t="shared" si="232"/>
        <v>1666.1152439999998</v>
      </c>
      <c r="BI163" s="1">
        <f t="shared" si="233"/>
        <v>1059.6492951839998</v>
      </c>
      <c r="BJ163" s="1">
        <f t="shared" si="234"/>
        <v>2424.19768002</v>
      </c>
      <c r="BL163" s="2">
        <v>0.94</v>
      </c>
      <c r="BM163" s="2">
        <v>0.09</v>
      </c>
      <c r="BO163" s="1">
        <f t="shared" si="199"/>
        <v>2408.1946431013803</v>
      </c>
      <c r="BP163" s="1">
        <f t="shared" si="200"/>
        <v>1407.7342605713427</v>
      </c>
      <c r="BQ163" s="1">
        <f t="shared" si="201"/>
        <v>3324.2718853371452</v>
      </c>
      <c r="BR163" s="1">
        <f t="shared" si="202"/>
        <v>199.71168058080002</v>
      </c>
      <c r="BS163" s="1">
        <f t="shared" si="203"/>
        <v>0</v>
      </c>
      <c r="BT163" s="1">
        <f t="shared" si="204"/>
        <v>478.3294461590742</v>
      </c>
      <c r="BU163" s="1">
        <f t="shared" si="205"/>
        <v>8191.733283</v>
      </c>
      <c r="BV163" s="1">
        <f t="shared" si="206"/>
        <v>6102.841295835</v>
      </c>
      <c r="BW163" s="1">
        <f t="shared" si="207"/>
        <v>10722.978867446998</v>
      </c>
      <c r="BX163" s="1">
        <f t="shared" si="208"/>
        <v>1666.1152439999998</v>
      </c>
      <c r="BY163" s="1">
        <f t="shared" si="209"/>
        <v>1059.6492951839998</v>
      </c>
      <c r="BZ163" s="1">
        <f t="shared" si="210"/>
        <v>2424.19768002</v>
      </c>
      <c r="CA163" s="1">
        <f t="shared" si="211"/>
        <v>13146.08524198218</v>
      </c>
      <c r="CB163" s="1">
        <f t="shared" si="212"/>
        <v>10322.689161846567</v>
      </c>
      <c r="CC163" s="1">
        <f t="shared" si="213"/>
        <v>22651.011403428918</v>
      </c>
      <c r="CD163" s="1">
        <f t="shared" si="176"/>
        <v>49718.25171</v>
      </c>
      <c r="CE163" s="1">
        <f t="shared" si="177"/>
        <v>39774.601368</v>
      </c>
      <c r="CF163" s="1">
        <f t="shared" si="178"/>
        <v>66125.2747743</v>
      </c>
      <c r="CG163" t="s">
        <v>179</v>
      </c>
      <c r="CH163" s="21" t="s">
        <v>171</v>
      </c>
      <c r="CI163">
        <v>3466740</v>
      </c>
      <c r="CJ163" s="102">
        <v>4.381457</v>
      </c>
      <c r="CK163" s="1">
        <v>61.90963</v>
      </c>
      <c r="CL163" s="1">
        <f t="shared" si="214"/>
        <v>66.291087</v>
      </c>
      <c r="CM163" s="1">
        <v>4.26501531211372</v>
      </c>
      <c r="CN163" s="1">
        <v>62.2900271121352</v>
      </c>
      <c r="CO163" s="1">
        <f t="shared" si="215"/>
        <v>66.55504242424892</v>
      </c>
      <c r="CP163" s="1">
        <f t="shared" si="179"/>
        <v>21.155436311917043</v>
      </c>
      <c r="CQ163" s="1">
        <f t="shared" si="180"/>
        <v>11.10880063116239</v>
      </c>
      <c r="CR163" s="1">
        <f t="shared" si="181"/>
        <v>29.439790531083954</v>
      </c>
      <c r="CS163" s="1">
        <f t="shared" si="182"/>
        <v>4.176880983408704</v>
      </c>
      <c r="CT163" s="1">
        <f t="shared" si="183"/>
        <v>0.5100541801945448</v>
      </c>
      <c r="CU163" s="1">
        <f t="shared" si="184"/>
        <v>8.172657111908238</v>
      </c>
    </row>
    <row r="164" spans="3:99" ht="13.5" customHeight="1">
      <c r="C164" s="50" t="s">
        <v>235</v>
      </c>
      <c r="D164" s="37">
        <v>3.9</v>
      </c>
      <c r="E164" s="38">
        <v>6</v>
      </c>
      <c r="F164" s="38">
        <v>78.5</v>
      </c>
      <c r="G164" s="38">
        <v>33.3</v>
      </c>
      <c r="H164" s="38">
        <v>9</v>
      </c>
      <c r="P164" s="48" t="s">
        <v>233</v>
      </c>
      <c r="Q164" s="131">
        <f>SUM(AR151:AR153)</f>
        <v>24103819</v>
      </c>
      <c r="R164" s="244">
        <v>0.015</v>
      </c>
      <c r="S164" s="131">
        <f>(Q164*R164)</f>
        <v>361557.285</v>
      </c>
      <c r="T164" s="131">
        <f>S164*0.267</f>
        <v>96535.795095</v>
      </c>
      <c r="U164" s="15"/>
      <c r="V164" s="1">
        <f t="shared" si="185"/>
        <v>615.4438500000001</v>
      </c>
      <c r="W164" s="1">
        <f t="shared" si="186"/>
        <v>492.35508000000004</v>
      </c>
      <c r="X164" s="1">
        <f t="shared" si="187"/>
        <v>818.5403205000001</v>
      </c>
      <c r="Y164" s="1">
        <f t="shared" si="188"/>
        <v>118.1652192</v>
      </c>
      <c r="Z164" s="1">
        <f t="shared" si="189"/>
        <v>94.53217536</v>
      </c>
      <c r="AA164" s="1">
        <f t="shared" si="190"/>
        <v>157.159741536</v>
      </c>
      <c r="AB164" s="1">
        <f t="shared" si="219"/>
        <v>4610.4861190176</v>
      </c>
      <c r="AC164" s="1">
        <f t="shared" si="220"/>
        <v>3688.38889521408</v>
      </c>
      <c r="AD164" s="1">
        <f t="shared" si="221"/>
        <v>6131.946538293409</v>
      </c>
      <c r="AE164" s="1">
        <f t="shared" si="222"/>
        <v>2701.3504583772</v>
      </c>
      <c r="AF164" s="1">
        <f t="shared" si="223"/>
        <v>2161.0803667017603</v>
      </c>
      <c r="AG164" s="1">
        <f t="shared" si="224"/>
        <v>3592.7961096416766</v>
      </c>
      <c r="AP164" t="s">
        <v>180</v>
      </c>
      <c r="AQ164" s="21" t="s">
        <v>171</v>
      </c>
      <c r="AR164">
        <v>586137</v>
      </c>
      <c r="AS164" s="1">
        <f t="shared" si="225"/>
        <v>8792.055</v>
      </c>
      <c r="AT164" s="1">
        <f t="shared" si="227"/>
        <v>7033.644</v>
      </c>
      <c r="AU164" s="1">
        <f t="shared" si="228"/>
        <v>11693.43315</v>
      </c>
      <c r="AV164" s="1">
        <f t="shared" si="216"/>
        <v>2347.478685</v>
      </c>
      <c r="AW164" s="1">
        <f t="shared" si="217"/>
        <v>1758.411</v>
      </c>
      <c r="AX164" s="1">
        <f t="shared" si="218"/>
        <v>4105.889685</v>
      </c>
      <c r="AY164" s="1">
        <f t="shared" si="193"/>
        <v>429.588599355</v>
      </c>
      <c r="AZ164" s="1">
        <f t="shared" si="194"/>
        <v>251.12031163895878</v>
      </c>
      <c r="BA164" s="1">
        <f t="shared" si="195"/>
        <v>593.004102549642</v>
      </c>
      <c r="BB164" s="1">
        <f t="shared" si="196"/>
        <v>136.15376373</v>
      </c>
      <c r="BC164" s="1">
        <f t="shared" si="197"/>
        <v>0</v>
      </c>
      <c r="BD164" s="1">
        <f t="shared" si="198"/>
        <v>326.101879509723</v>
      </c>
      <c r="BE164" s="1">
        <f t="shared" si="229"/>
        <v>1385.01242415</v>
      </c>
      <c r="BF164" s="1">
        <f t="shared" si="230"/>
        <v>1031.83425599175</v>
      </c>
      <c r="BG164" s="1">
        <f t="shared" si="231"/>
        <v>1812.9812632123499</v>
      </c>
      <c r="BH164" s="1">
        <f t="shared" si="232"/>
        <v>281.6974422</v>
      </c>
      <c r="BI164" s="1">
        <f t="shared" si="233"/>
        <v>179.1595732392</v>
      </c>
      <c r="BJ164" s="1">
        <f t="shared" si="234"/>
        <v>409.869778401</v>
      </c>
      <c r="BL164" s="2">
        <v>0.83</v>
      </c>
      <c r="BM164" s="2">
        <v>0</v>
      </c>
      <c r="BO164" s="1">
        <f t="shared" si="199"/>
        <v>429.588599355</v>
      </c>
      <c r="BP164" s="1">
        <f t="shared" si="200"/>
        <v>251.12031163895878</v>
      </c>
      <c r="BQ164" s="1">
        <f t="shared" si="201"/>
        <v>593.004102549642</v>
      </c>
      <c r="BR164" s="1">
        <f t="shared" si="202"/>
        <v>45.74766461328001</v>
      </c>
      <c r="BS164" s="1">
        <f t="shared" si="203"/>
        <v>0</v>
      </c>
      <c r="BT164" s="1">
        <f t="shared" si="204"/>
        <v>109.57023151526693</v>
      </c>
      <c r="BU164" s="1">
        <f t="shared" si="205"/>
        <v>1385.01242415</v>
      </c>
      <c r="BV164" s="1">
        <f t="shared" si="206"/>
        <v>1031.83425599175</v>
      </c>
      <c r="BW164" s="1">
        <f t="shared" si="207"/>
        <v>1812.9812632123499</v>
      </c>
      <c r="BX164" s="1">
        <f t="shared" si="208"/>
        <v>281.6974422</v>
      </c>
      <c r="BY164" s="1">
        <f t="shared" si="209"/>
        <v>179.1595732392</v>
      </c>
      <c r="BZ164" s="1">
        <f t="shared" si="210"/>
        <v>409.869778401</v>
      </c>
      <c r="CA164" s="1">
        <f t="shared" si="211"/>
        <v>2257.07258588328</v>
      </c>
      <c r="CB164" s="1">
        <f t="shared" si="212"/>
        <v>1758.411</v>
      </c>
      <c r="CC164" s="1">
        <f t="shared" si="213"/>
        <v>3889.3580370055442</v>
      </c>
      <c r="CD164" s="1">
        <f t="shared" si="176"/>
        <v>8500.158774</v>
      </c>
      <c r="CE164" s="1">
        <f t="shared" si="177"/>
        <v>6800.1270192</v>
      </c>
      <c r="CF164" s="1">
        <f t="shared" si="178"/>
        <v>11305.211169420001</v>
      </c>
      <c r="CG164" t="s">
        <v>180</v>
      </c>
      <c r="CH164" s="21" t="s">
        <v>171</v>
      </c>
      <c r="CI164">
        <v>586137</v>
      </c>
      <c r="CJ164" s="102">
        <v>1.109244</v>
      </c>
      <c r="CK164" s="1">
        <v>35.9568</v>
      </c>
      <c r="CL164" s="1">
        <f t="shared" si="214"/>
        <v>37.066044</v>
      </c>
      <c r="CM164" s="1">
        <v>1.31932809090909</v>
      </c>
      <c r="CN164" s="1">
        <v>34.1664199170124</v>
      </c>
      <c r="CO164" s="1">
        <f t="shared" si="215"/>
        <v>35.48574800792149</v>
      </c>
      <c r="CP164" s="1">
        <f t="shared" si="179"/>
        <v>11.696102543410921</v>
      </c>
      <c r="CQ164" s="1">
        <f t="shared" si="180"/>
        <v>6.192263027382299</v>
      </c>
      <c r="CR164" s="1">
        <f t="shared" si="181"/>
        <v>16.16730679240903</v>
      </c>
      <c r="CS164" s="1">
        <f t="shared" si="182"/>
        <v>2.9515318554125742</v>
      </c>
      <c r="CT164" s="1">
        <f t="shared" si="183"/>
        <v>0.3674493709313939</v>
      </c>
      <c r="CU164" s="1">
        <f t="shared" si="184"/>
        <v>5.657195845426569</v>
      </c>
    </row>
    <row r="165" spans="3:99" ht="13.5" customHeight="1">
      <c r="C165" s="50" t="s">
        <v>236</v>
      </c>
      <c r="D165" s="37">
        <v>3.2</v>
      </c>
      <c r="E165" s="38">
        <v>4.5</v>
      </c>
      <c r="F165" s="38">
        <v>62.9</v>
      </c>
      <c r="G165" s="38">
        <v>6.499999999999999</v>
      </c>
      <c r="H165" s="38">
        <v>0.4</v>
      </c>
      <c r="P165" s="48" t="s">
        <v>234</v>
      </c>
      <c r="Q165" s="131">
        <f>SUM(AR154:AR184)</f>
        <v>27122978</v>
      </c>
      <c r="R165" s="244">
        <v>0.015</v>
      </c>
      <c r="S165" s="131">
        <f>(Q165*R165)</f>
        <v>406844.67</v>
      </c>
      <c r="T165" s="131">
        <f>S165*0.267</f>
        <v>108627.52689000001</v>
      </c>
      <c r="U165" s="15"/>
      <c r="V165" s="1">
        <f t="shared" si="185"/>
        <v>515.3442</v>
      </c>
      <c r="W165" s="1">
        <f t="shared" si="186"/>
        <v>412.27536000000003</v>
      </c>
      <c r="X165" s="1">
        <f t="shared" si="187"/>
        <v>685.4077860000001</v>
      </c>
      <c r="Y165" s="1">
        <f t="shared" si="188"/>
        <v>61.252339199999966</v>
      </c>
      <c r="Z165" s="1">
        <f t="shared" si="189"/>
        <v>49.001871359999996</v>
      </c>
      <c r="AA165" s="1">
        <f t="shared" si="190"/>
        <v>81.465611136</v>
      </c>
      <c r="AB165" s="1">
        <f t="shared" si="219"/>
        <v>3835.0513627776</v>
      </c>
      <c r="AC165" s="1">
        <f t="shared" si="220"/>
        <v>3068.04109022208</v>
      </c>
      <c r="AD165" s="1">
        <f t="shared" si="221"/>
        <v>5100.618312494208</v>
      </c>
      <c r="AE165" s="1">
        <f t="shared" si="222"/>
        <v>2247.0120263472</v>
      </c>
      <c r="AF165" s="1">
        <f t="shared" si="223"/>
        <v>1797.6096210777603</v>
      </c>
      <c r="AG165" s="1">
        <f t="shared" si="224"/>
        <v>2988.5259950417762</v>
      </c>
      <c r="AP165" t="s">
        <v>216</v>
      </c>
      <c r="AQ165" s="21" t="s">
        <v>171</v>
      </c>
      <c r="AR165">
        <v>490804</v>
      </c>
      <c r="AS165" s="1">
        <f t="shared" si="225"/>
        <v>7362.0599999999995</v>
      </c>
      <c r="AT165" s="1">
        <f t="shared" si="227"/>
        <v>5889.648</v>
      </c>
      <c r="AU165" s="1">
        <f t="shared" si="228"/>
        <v>9791.5398</v>
      </c>
      <c r="AV165" s="1">
        <f t="shared" si="216"/>
        <v>1965.67002</v>
      </c>
      <c r="AW165" s="1">
        <f t="shared" si="217"/>
        <v>1472.412</v>
      </c>
      <c r="AX165" s="1">
        <f t="shared" si="218"/>
        <v>3438.08202</v>
      </c>
      <c r="AY165" s="1">
        <f t="shared" si="193"/>
        <v>359.71761366</v>
      </c>
      <c r="AZ165" s="1">
        <f t="shared" si="194"/>
        <v>210.27652824108958</v>
      </c>
      <c r="BA165" s="1">
        <f t="shared" si="195"/>
        <v>496.554193896264</v>
      </c>
      <c r="BB165" s="1">
        <f t="shared" si="196"/>
        <v>114.00886116000001</v>
      </c>
      <c r="BC165" s="1">
        <f t="shared" si="197"/>
        <v>0</v>
      </c>
      <c r="BD165" s="1">
        <f t="shared" si="198"/>
        <v>273.062623364316</v>
      </c>
      <c r="BE165" s="1">
        <f t="shared" si="229"/>
        <v>1159.7453117999999</v>
      </c>
      <c r="BF165" s="1">
        <f t="shared" si="230"/>
        <v>864.0102572909999</v>
      </c>
      <c r="BG165" s="1">
        <f t="shared" si="231"/>
        <v>1518.1066131461998</v>
      </c>
      <c r="BH165" s="1">
        <f t="shared" si="232"/>
        <v>235.88040239999998</v>
      </c>
      <c r="BI165" s="1">
        <f t="shared" si="233"/>
        <v>150.0199359264</v>
      </c>
      <c r="BJ165" s="1">
        <f t="shared" si="234"/>
        <v>343.20598549199997</v>
      </c>
      <c r="BL165" s="2">
        <v>0.99</v>
      </c>
      <c r="BM165" s="2">
        <v>0</v>
      </c>
      <c r="BO165" s="1">
        <f t="shared" si="199"/>
        <v>359.71761366</v>
      </c>
      <c r="BP165" s="1">
        <f t="shared" si="200"/>
        <v>210.27652824108958</v>
      </c>
      <c r="BQ165" s="1">
        <f t="shared" si="201"/>
        <v>496.554193896264</v>
      </c>
      <c r="BR165" s="1">
        <f t="shared" si="202"/>
        <v>23.713843121280007</v>
      </c>
      <c r="BS165" s="1">
        <f t="shared" si="203"/>
        <v>0</v>
      </c>
      <c r="BT165" s="1">
        <f t="shared" si="204"/>
        <v>56.79702565977769</v>
      </c>
      <c r="BU165" s="1">
        <f t="shared" si="205"/>
        <v>1159.7453117999999</v>
      </c>
      <c r="BV165" s="1">
        <f t="shared" si="206"/>
        <v>864.0102572909999</v>
      </c>
      <c r="BW165" s="1">
        <f t="shared" si="207"/>
        <v>1518.1066131461998</v>
      </c>
      <c r="BX165" s="1">
        <f t="shared" si="208"/>
        <v>235.88040239999998</v>
      </c>
      <c r="BY165" s="1">
        <f t="shared" si="209"/>
        <v>150.0199359264</v>
      </c>
      <c r="BZ165" s="1">
        <f t="shared" si="210"/>
        <v>343.20598549199997</v>
      </c>
      <c r="CA165" s="1">
        <f t="shared" si="211"/>
        <v>1875.37500196128</v>
      </c>
      <c r="CB165" s="1">
        <f t="shared" si="212"/>
        <v>1472.412</v>
      </c>
      <c r="CC165" s="1">
        <f t="shared" si="213"/>
        <v>3221.8164222954615</v>
      </c>
      <c r="CD165" s="1">
        <f t="shared" si="176"/>
        <v>7070.522424</v>
      </c>
      <c r="CE165" s="1">
        <f t="shared" si="177"/>
        <v>5656.417939200001</v>
      </c>
      <c r="CF165" s="1">
        <f t="shared" si="178"/>
        <v>9403.79482392</v>
      </c>
      <c r="CG165" t="s">
        <v>216</v>
      </c>
      <c r="CH165" s="21" t="s">
        <v>171</v>
      </c>
      <c r="CI165">
        <v>490804</v>
      </c>
      <c r="CJ165" s="102">
        <v>11.16813</v>
      </c>
      <c r="CK165" s="1">
        <v>17.00918</v>
      </c>
      <c r="CL165" s="1">
        <f t="shared" si="214"/>
        <v>28.17731</v>
      </c>
      <c r="CM165" s="1">
        <v>11.3522200549451</v>
      </c>
      <c r="CN165" s="1">
        <v>15.9421834686347</v>
      </c>
      <c r="CO165" s="1">
        <f t="shared" si="215"/>
        <v>27.294403523579803</v>
      </c>
      <c r="CP165" s="1">
        <f t="shared" si="179"/>
        <v>8.996235401371903</v>
      </c>
      <c r="CQ165" s="1">
        <f t="shared" si="180"/>
        <v>4.762873414864675</v>
      </c>
      <c r="CR165" s="1">
        <f t="shared" si="181"/>
        <v>12.435330245342959</v>
      </c>
      <c r="CS165" s="1">
        <f t="shared" si="182"/>
        <v>1.4513590320678813</v>
      </c>
      <c r="CT165" s="1">
        <f t="shared" si="183"/>
        <v>0.17565388505809232</v>
      </c>
      <c r="CU165" s="1">
        <f t="shared" si="184"/>
        <v>2.867843260521831</v>
      </c>
    </row>
    <row r="166" spans="3:99" ht="13.5" customHeight="1">
      <c r="C166" s="34"/>
      <c r="D166" s="33"/>
      <c r="P166" s="48" t="s">
        <v>235</v>
      </c>
      <c r="Q166" s="131">
        <f>SUM(AR185:AR197)</f>
        <v>14336765</v>
      </c>
      <c r="R166" s="244">
        <v>0.03</v>
      </c>
      <c r="S166" s="131">
        <f>(Q166*R166)</f>
        <v>430102.95</v>
      </c>
      <c r="T166" s="131">
        <f>S166*0.267</f>
        <v>114837.48765000001</v>
      </c>
      <c r="U166" s="15"/>
      <c r="V166" s="1">
        <f t="shared" si="185"/>
        <v>24.68655</v>
      </c>
      <c r="W166" s="1">
        <f t="shared" si="186"/>
        <v>19.749240000000004</v>
      </c>
      <c r="X166" s="1">
        <f t="shared" si="187"/>
        <v>32.8331115</v>
      </c>
      <c r="Y166" s="1">
        <f t="shared" si="188"/>
        <v>3.272731199999999</v>
      </c>
      <c r="Z166" s="1">
        <f t="shared" si="189"/>
        <v>2.6181849600000007</v>
      </c>
      <c r="AA166" s="1">
        <f t="shared" si="190"/>
        <v>4.352732496</v>
      </c>
      <c r="AB166" s="1">
        <f t="shared" si="219"/>
        <v>183.9401329536</v>
      </c>
      <c r="AC166" s="1">
        <f t="shared" si="220"/>
        <v>147.15210636288</v>
      </c>
      <c r="AD166" s="1">
        <f t="shared" si="221"/>
        <v>244.640376828288</v>
      </c>
      <c r="AE166" s="1">
        <f t="shared" si="222"/>
        <v>107.7731826192</v>
      </c>
      <c r="AF166" s="1">
        <f t="shared" si="223"/>
        <v>86.21854609536001</v>
      </c>
      <c r="AG166" s="1">
        <f t="shared" si="224"/>
        <v>143.338332883536</v>
      </c>
      <c r="AP166" t="s">
        <v>181</v>
      </c>
      <c r="AQ166" s="21" t="s">
        <v>171</v>
      </c>
      <c r="AR166">
        <v>23511</v>
      </c>
      <c r="AS166" s="1">
        <f t="shared" si="225"/>
        <v>352.66499999999996</v>
      </c>
      <c r="AT166" s="1">
        <f t="shared" si="227"/>
        <v>282.132</v>
      </c>
      <c r="AU166" s="1">
        <f t="shared" si="228"/>
        <v>469.04445</v>
      </c>
      <c r="AV166" s="1">
        <f t="shared" si="216"/>
        <v>94.16155499999999</v>
      </c>
      <c r="AW166" s="1">
        <f t="shared" si="217"/>
        <v>70.533</v>
      </c>
      <c r="AX166" s="1">
        <f t="shared" si="218"/>
        <v>164.69455499999998</v>
      </c>
      <c r="AY166" s="1">
        <f t="shared" si="193"/>
        <v>17.231564565</v>
      </c>
      <c r="AZ166" s="1">
        <f t="shared" si="194"/>
        <v>10.0728833821164</v>
      </c>
      <c r="BA166" s="1">
        <f t="shared" si="195"/>
        <v>23.786451725526</v>
      </c>
      <c r="BB166" s="1">
        <f t="shared" si="196"/>
        <v>5.46137019</v>
      </c>
      <c r="BC166" s="1">
        <f t="shared" si="197"/>
        <v>0</v>
      </c>
      <c r="BD166" s="1">
        <f t="shared" si="198"/>
        <v>13.080527742069</v>
      </c>
      <c r="BE166" s="1">
        <f t="shared" si="229"/>
        <v>55.55531744999999</v>
      </c>
      <c r="BF166" s="1">
        <f t="shared" si="230"/>
        <v>41.38871150024999</v>
      </c>
      <c r="BG166" s="1">
        <f t="shared" si="231"/>
        <v>72.72191054204998</v>
      </c>
      <c r="BH166" s="1">
        <f t="shared" si="232"/>
        <v>11.299386599999998</v>
      </c>
      <c r="BI166" s="1">
        <f t="shared" si="233"/>
        <v>7.186409877599999</v>
      </c>
      <c r="BJ166" s="1">
        <f t="shared" si="234"/>
        <v>16.440607503</v>
      </c>
      <c r="BL166" s="2">
        <v>0.96</v>
      </c>
      <c r="BM166" s="2">
        <v>0</v>
      </c>
      <c r="BO166" s="1">
        <f t="shared" si="199"/>
        <v>17.231564565</v>
      </c>
      <c r="BP166" s="1">
        <f t="shared" si="200"/>
        <v>10.0728833821164</v>
      </c>
      <c r="BQ166" s="1">
        <f t="shared" si="201"/>
        <v>23.786451725526</v>
      </c>
      <c r="BR166" s="1">
        <f t="shared" si="202"/>
        <v>1.2670378840800005</v>
      </c>
      <c r="BS166" s="1">
        <f t="shared" si="203"/>
        <v>0</v>
      </c>
      <c r="BT166" s="1">
        <f t="shared" si="204"/>
        <v>3.0346824361600078</v>
      </c>
      <c r="BU166" s="1">
        <f t="shared" si="205"/>
        <v>55.55531744999999</v>
      </c>
      <c r="BV166" s="1">
        <f t="shared" si="206"/>
        <v>41.38871150024999</v>
      </c>
      <c r="BW166" s="1">
        <f t="shared" si="207"/>
        <v>72.72191054204998</v>
      </c>
      <c r="BX166" s="1">
        <f t="shared" si="208"/>
        <v>11.299386599999998</v>
      </c>
      <c r="BY166" s="1">
        <f t="shared" si="209"/>
        <v>7.186409877599999</v>
      </c>
      <c r="BZ166" s="1">
        <f t="shared" si="210"/>
        <v>16.440607503</v>
      </c>
      <c r="CA166" s="1">
        <f t="shared" si="211"/>
        <v>89.96722269408</v>
      </c>
      <c r="CB166" s="1">
        <f t="shared" si="212"/>
        <v>70.533</v>
      </c>
      <c r="CC166" s="1">
        <f t="shared" si="213"/>
        <v>154.648709694091</v>
      </c>
      <c r="CD166" s="1">
        <f t="shared" si="176"/>
        <v>339.122664</v>
      </c>
      <c r="CE166" s="1">
        <f t="shared" si="177"/>
        <v>271.2981312</v>
      </c>
      <c r="CF166" s="1">
        <f t="shared" si="178"/>
        <v>451.03314312</v>
      </c>
      <c r="CG166" t="s">
        <v>181</v>
      </c>
      <c r="CH166" s="21" t="s">
        <v>171</v>
      </c>
      <c r="CI166">
        <v>23511</v>
      </c>
      <c r="CJ166" s="102">
        <v>0</v>
      </c>
      <c r="CK166" s="1">
        <v>0</v>
      </c>
      <c r="CL166" s="1">
        <f t="shared" si="214"/>
        <v>0</v>
      </c>
      <c r="CM166" s="1">
        <v>0</v>
      </c>
      <c r="CN166" s="1">
        <v>0</v>
      </c>
      <c r="CO166" s="1">
        <f t="shared" si="215"/>
        <v>0</v>
      </c>
      <c r="CP166" s="1">
        <f t="shared" si="179"/>
        <v>0</v>
      </c>
      <c r="CQ166" s="1">
        <f t="shared" si="180"/>
        <v>0</v>
      </c>
      <c r="CR166" s="1">
        <f t="shared" si="181"/>
        <v>0</v>
      </c>
      <c r="CS166" s="1">
        <f t="shared" si="182"/>
        <v>0</v>
      </c>
      <c r="CT166" s="1">
        <f t="shared" si="183"/>
        <v>0</v>
      </c>
      <c r="CU166" s="1">
        <f t="shared" si="184"/>
        <v>0</v>
      </c>
    </row>
    <row r="167" spans="3:99" ht="13.5" customHeight="1">
      <c r="C167" s="34"/>
      <c r="D167" s="33"/>
      <c r="P167" s="48" t="s">
        <v>236</v>
      </c>
      <c r="Q167" s="131">
        <f>SUM(AR198:AR204)</f>
        <v>13145500</v>
      </c>
      <c r="R167" s="244">
        <v>0.06</v>
      </c>
      <c r="S167" s="131">
        <f>(Q167*R167)</f>
        <v>788730</v>
      </c>
      <c r="T167" s="131">
        <f>S167*0.267</f>
        <v>210590.91</v>
      </c>
      <c r="U167" s="15"/>
      <c r="V167" s="1">
        <f t="shared" si="185"/>
        <v>282.40116534000003</v>
      </c>
      <c r="W167" s="1">
        <f t="shared" si="186"/>
        <v>225.92093227200002</v>
      </c>
      <c r="X167" s="1">
        <f t="shared" si="187"/>
        <v>375.59354990220004</v>
      </c>
      <c r="Y167" s="1">
        <f t="shared" si="188"/>
        <v>53.31771839999999</v>
      </c>
      <c r="Z167" s="1">
        <f t="shared" si="189"/>
        <v>42.654174719999986</v>
      </c>
      <c r="AA167" s="1">
        <f t="shared" si="190"/>
        <v>70.91256547199998</v>
      </c>
      <c r="AB167" s="1">
        <f t="shared" si="219"/>
        <v>2717.911113710399</v>
      </c>
      <c r="AC167" s="1">
        <f t="shared" si="220"/>
        <v>2174.32889096832</v>
      </c>
      <c r="AD167" s="1">
        <f t="shared" si="221"/>
        <v>3614.821781234832</v>
      </c>
      <c r="AE167" s="1">
        <f t="shared" si="222"/>
        <v>1592.4634069637998</v>
      </c>
      <c r="AF167" s="1">
        <f t="shared" si="223"/>
        <v>1273.9707255710402</v>
      </c>
      <c r="AG167" s="1">
        <f t="shared" si="224"/>
        <v>2117.9763312618543</v>
      </c>
      <c r="AP167" t="s">
        <v>182</v>
      </c>
      <c r="AQ167" s="21" t="s">
        <v>171</v>
      </c>
      <c r="AR167">
        <v>358318</v>
      </c>
      <c r="AS167" s="1">
        <f t="shared" si="225"/>
        <v>5374.7699999999995</v>
      </c>
      <c r="AT167" s="1">
        <f t="shared" si="227"/>
        <v>4299.816</v>
      </c>
      <c r="AU167" s="1">
        <f t="shared" si="228"/>
        <v>7148.4441</v>
      </c>
      <c r="AV167" s="1">
        <f t="shared" si="216"/>
        <v>1435.06359</v>
      </c>
      <c r="AW167" s="1">
        <f t="shared" si="217"/>
        <v>1074.954</v>
      </c>
      <c r="AX167" s="1">
        <f t="shared" si="218"/>
        <v>2510.01759</v>
      </c>
      <c r="AY167" s="1">
        <f t="shared" si="193"/>
        <v>262.61663697</v>
      </c>
      <c r="AZ167" s="1">
        <f t="shared" si="194"/>
        <v>153.51518130718318</v>
      </c>
      <c r="BA167" s="1">
        <f t="shared" si="195"/>
        <v>362.516005673388</v>
      </c>
      <c r="BB167" s="1">
        <f t="shared" si="196"/>
        <v>83.23368822</v>
      </c>
      <c r="BC167" s="1">
        <f t="shared" si="197"/>
        <v>0</v>
      </c>
      <c r="BD167" s="1">
        <f t="shared" si="198"/>
        <v>199.353006655722</v>
      </c>
      <c r="BE167" s="1">
        <f t="shared" si="229"/>
        <v>846.6875180999999</v>
      </c>
      <c r="BF167" s="1">
        <f t="shared" si="230"/>
        <v>630.7822009844999</v>
      </c>
      <c r="BG167" s="1">
        <f t="shared" si="231"/>
        <v>1108.3139611928998</v>
      </c>
      <c r="BH167" s="1">
        <f t="shared" si="232"/>
        <v>172.2076308</v>
      </c>
      <c r="BI167" s="1">
        <f t="shared" si="233"/>
        <v>109.52405318880001</v>
      </c>
      <c r="BJ167" s="1">
        <f t="shared" si="234"/>
        <v>250.562102814</v>
      </c>
      <c r="BL167" s="2">
        <v>0.94</v>
      </c>
      <c r="BM167" s="2">
        <v>0.43</v>
      </c>
      <c r="BO167" s="1">
        <f t="shared" si="199"/>
        <v>197.120047709682</v>
      </c>
      <c r="BP167" s="1">
        <f t="shared" si="200"/>
        <v>115.2284950891717</v>
      </c>
      <c r="BQ167" s="1">
        <f t="shared" si="201"/>
        <v>272.10451385844505</v>
      </c>
      <c r="BR167" s="1">
        <f t="shared" si="202"/>
        <v>20.641954678560005</v>
      </c>
      <c r="BS167" s="1">
        <f t="shared" si="203"/>
        <v>0</v>
      </c>
      <c r="BT167" s="1">
        <f t="shared" si="204"/>
        <v>49.43954565061907</v>
      </c>
      <c r="BU167" s="1">
        <f t="shared" si="205"/>
        <v>846.6875180999999</v>
      </c>
      <c r="BV167" s="1">
        <f t="shared" si="206"/>
        <v>630.7822009844999</v>
      </c>
      <c r="BW167" s="1">
        <f t="shared" si="207"/>
        <v>1108.3139611928998</v>
      </c>
      <c r="BX167" s="1">
        <f t="shared" si="208"/>
        <v>172.2076308</v>
      </c>
      <c r="BY167" s="1">
        <f t="shared" si="209"/>
        <v>109.52405318880001</v>
      </c>
      <c r="BZ167" s="1">
        <f t="shared" si="210"/>
        <v>250.562102814</v>
      </c>
      <c r="CA167" s="1">
        <f t="shared" si="211"/>
        <v>1306.9752671982421</v>
      </c>
      <c r="CB167" s="1">
        <f t="shared" si="212"/>
        <v>1036.6673137819885</v>
      </c>
      <c r="CC167" s="1">
        <f t="shared" si="213"/>
        <v>2269.692637179954</v>
      </c>
      <c r="CD167" s="1">
        <f t="shared" si="176"/>
        <v>5010.898070999999</v>
      </c>
      <c r="CE167" s="1">
        <f t="shared" si="177"/>
        <v>4008.7184568000002</v>
      </c>
      <c r="CF167" s="1">
        <f t="shared" si="178"/>
        <v>6664.49443443</v>
      </c>
      <c r="CG167" t="s">
        <v>182</v>
      </c>
      <c r="CH167" s="21" t="s">
        <v>171</v>
      </c>
      <c r="CI167">
        <v>358318</v>
      </c>
      <c r="CJ167" s="102">
        <v>0.8927618</v>
      </c>
      <c r="CK167" s="1">
        <v>2.819729</v>
      </c>
      <c r="CL167" s="1">
        <f t="shared" si="214"/>
        <v>3.7124908000000003</v>
      </c>
      <c r="CM167" s="1">
        <v>0.952279253333333</v>
      </c>
      <c r="CN167" s="1">
        <v>2.78238159602649</v>
      </c>
      <c r="CO167" s="1">
        <f t="shared" si="215"/>
        <v>3.734660849359823</v>
      </c>
      <c r="CP167" s="1">
        <f t="shared" si="179"/>
        <v>1.0066996987346295</v>
      </c>
      <c r="CQ167" s="1">
        <f t="shared" si="180"/>
        <v>0.5114219963590391</v>
      </c>
      <c r="CR167" s="1">
        <f t="shared" si="181"/>
        <v>1.4408764711927178</v>
      </c>
      <c r="CS167" s="1">
        <f t="shared" si="182"/>
        <v>0.23438094715252644</v>
      </c>
      <c r="CT167" s="1">
        <f t="shared" si="183"/>
        <v>0.028621112817905078</v>
      </c>
      <c r="CU167" s="1">
        <f t="shared" si="184"/>
        <v>0.45859940042597397</v>
      </c>
    </row>
    <row r="168" spans="3:99" ht="13.5" customHeight="1">
      <c r="C168" s="34"/>
      <c r="D168"/>
      <c r="E168"/>
      <c r="F168"/>
      <c r="G168"/>
      <c r="H168"/>
      <c r="P168" s="48" t="s">
        <v>237</v>
      </c>
      <c r="Q168" s="131">
        <f>SUM(AR205:AR209)</f>
        <v>7468229</v>
      </c>
      <c r="R168" s="244">
        <v>0.025</v>
      </c>
      <c r="S168" s="131">
        <f>(Q168*R168)</f>
        <v>186705.725</v>
      </c>
      <c r="T168" s="131">
        <f>S168*0.267</f>
        <v>49850.428575000005</v>
      </c>
      <c r="U168" s="15"/>
      <c r="V168" s="1">
        <f t="shared" si="185"/>
        <v>772.0051500000001</v>
      </c>
      <c r="W168" s="1">
        <f t="shared" si="186"/>
        <v>617.6041200000001</v>
      </c>
      <c r="X168" s="1">
        <f t="shared" si="187"/>
        <v>1026.7668495000003</v>
      </c>
      <c r="Y168" s="1">
        <f t="shared" si="188"/>
        <v>112.93332479999998</v>
      </c>
      <c r="Z168" s="1">
        <f t="shared" si="189"/>
        <v>90.34665983999997</v>
      </c>
      <c r="AA168" s="1">
        <f t="shared" si="190"/>
        <v>150.20132198399995</v>
      </c>
      <c r="AB168" s="1">
        <f t="shared" si="219"/>
        <v>5759.4089898144</v>
      </c>
      <c r="AC168" s="1">
        <f t="shared" si="220"/>
        <v>4607.527191851521</v>
      </c>
      <c r="AD168" s="1">
        <f t="shared" si="221"/>
        <v>7660.013956453154</v>
      </c>
      <c r="AE168" s="1">
        <f t="shared" si="222"/>
        <v>3374.5209752268</v>
      </c>
      <c r="AF168" s="1">
        <f t="shared" si="223"/>
        <v>2699.6167801814404</v>
      </c>
      <c r="AG168" s="1">
        <f t="shared" si="224"/>
        <v>4488.112897051645</v>
      </c>
      <c r="AP168" t="s">
        <v>183</v>
      </c>
      <c r="AQ168" s="21" t="s">
        <v>171</v>
      </c>
      <c r="AR168">
        <v>735243</v>
      </c>
      <c r="AS168" s="1">
        <f t="shared" si="225"/>
        <v>11028.645</v>
      </c>
      <c r="AT168" s="1">
        <f t="shared" si="227"/>
        <v>8822.916000000001</v>
      </c>
      <c r="AU168" s="1">
        <f t="shared" si="228"/>
        <v>14668.097850000002</v>
      </c>
      <c r="AV168" s="1">
        <f t="shared" si="216"/>
        <v>2944.648215</v>
      </c>
      <c r="AW168" s="1">
        <f t="shared" si="217"/>
        <v>2205.7290000000003</v>
      </c>
      <c r="AX168" s="1">
        <f t="shared" si="218"/>
        <v>5150.377215</v>
      </c>
      <c r="AY168" s="1">
        <f t="shared" si="193"/>
        <v>538.870623345</v>
      </c>
      <c r="AZ168" s="1">
        <f t="shared" si="194"/>
        <v>315.0022115825532</v>
      </c>
      <c r="BA168" s="1">
        <f t="shared" si="195"/>
        <v>743.8570084654381</v>
      </c>
      <c r="BB168" s="1">
        <f t="shared" si="196"/>
        <v>170.78959647000002</v>
      </c>
      <c r="BC168" s="1">
        <f t="shared" si="197"/>
        <v>0</v>
      </c>
      <c r="BD168" s="1">
        <f t="shared" si="198"/>
        <v>409.058162505297</v>
      </c>
      <c r="BE168" s="1">
        <f t="shared" si="229"/>
        <v>1737.34244685</v>
      </c>
      <c r="BF168" s="1">
        <f t="shared" si="230"/>
        <v>1294.32012290325</v>
      </c>
      <c r="BG168" s="1">
        <f t="shared" si="231"/>
        <v>2274.18126292665</v>
      </c>
      <c r="BH168" s="1">
        <f t="shared" si="232"/>
        <v>353.3577858</v>
      </c>
      <c r="BI168" s="1">
        <f t="shared" si="233"/>
        <v>224.7355517688</v>
      </c>
      <c r="BJ168" s="1">
        <f t="shared" si="234"/>
        <v>514.1355783390001</v>
      </c>
      <c r="BL168" s="2">
        <v>0.93</v>
      </c>
      <c r="BM168" s="2">
        <v>0</v>
      </c>
      <c r="BO168" s="1">
        <f t="shared" si="199"/>
        <v>538.870623345</v>
      </c>
      <c r="BP168" s="1">
        <f t="shared" si="200"/>
        <v>315.0022115825532</v>
      </c>
      <c r="BQ168" s="1">
        <f t="shared" si="201"/>
        <v>743.8570084654381</v>
      </c>
      <c r="BR168" s="1">
        <f t="shared" si="202"/>
        <v>43.72213669631999</v>
      </c>
      <c r="BS168" s="1">
        <f t="shared" si="203"/>
        <v>0</v>
      </c>
      <c r="BT168" s="1">
        <f t="shared" si="204"/>
        <v>104.71888960135601</v>
      </c>
      <c r="BU168" s="1">
        <f t="shared" si="205"/>
        <v>1737.34244685</v>
      </c>
      <c r="BV168" s="1">
        <f t="shared" si="206"/>
        <v>1294.32012290325</v>
      </c>
      <c r="BW168" s="1">
        <f t="shared" si="207"/>
        <v>2274.18126292665</v>
      </c>
      <c r="BX168" s="1">
        <f t="shared" si="208"/>
        <v>353.3577858</v>
      </c>
      <c r="BY168" s="1">
        <f t="shared" si="209"/>
        <v>224.7355517688</v>
      </c>
      <c r="BZ168" s="1">
        <f t="shared" si="210"/>
        <v>514.1355783390001</v>
      </c>
      <c r="CA168" s="1">
        <f t="shared" si="211"/>
        <v>2817.58075522632</v>
      </c>
      <c r="CB168" s="1">
        <f t="shared" si="212"/>
        <v>2205.7290000000003</v>
      </c>
      <c r="CC168" s="1">
        <f t="shared" si="213"/>
        <v>4846.03794209606</v>
      </c>
      <c r="CD168" s="1">
        <f t="shared" si="176"/>
        <v>10618.379406</v>
      </c>
      <c r="CE168" s="1">
        <f t="shared" si="177"/>
        <v>8494.703524800001</v>
      </c>
      <c r="CF168" s="1">
        <f t="shared" si="178"/>
        <v>14122.444609980002</v>
      </c>
      <c r="CG168" t="s">
        <v>183</v>
      </c>
      <c r="CH168" s="21" t="s">
        <v>171</v>
      </c>
      <c r="CI168">
        <v>735243</v>
      </c>
      <c r="CJ168" s="102">
        <v>0.8778221</v>
      </c>
      <c r="CK168" s="1">
        <v>12.42687</v>
      </c>
      <c r="CL168" s="1">
        <f t="shared" si="214"/>
        <v>13.304692099999999</v>
      </c>
      <c r="CM168" s="1">
        <v>0.849833569275362</v>
      </c>
      <c r="CN168" s="1">
        <v>12.2823715116279</v>
      </c>
      <c r="CO168" s="1">
        <f t="shared" si="215"/>
        <v>13.132205080903262</v>
      </c>
      <c r="CP168" s="1">
        <f t="shared" si="179"/>
        <v>4.328374794665715</v>
      </c>
      <c r="CQ168" s="1">
        <f t="shared" si="180"/>
        <v>2.291569786617619</v>
      </c>
      <c r="CR168" s="1">
        <f t="shared" si="181"/>
        <v>5.983032634859526</v>
      </c>
      <c r="CS168" s="1">
        <f t="shared" si="182"/>
        <v>0.8490216273432504</v>
      </c>
      <c r="CT168" s="1">
        <f t="shared" si="183"/>
        <v>0.10386134368036463</v>
      </c>
      <c r="CU168" s="1">
        <f t="shared" si="184"/>
        <v>1.6580260502646018</v>
      </c>
    </row>
    <row r="169" spans="1:99" ht="13.5" customHeight="1">
      <c r="A169" s="142" t="s">
        <v>306</v>
      </c>
      <c r="B169" s="133"/>
      <c r="C169" s="133"/>
      <c r="D169" s="133"/>
      <c r="E169" s="138"/>
      <c r="F169"/>
      <c r="G169"/>
      <c r="H169"/>
      <c r="P169" s="48" t="s">
        <v>241</v>
      </c>
      <c r="Q169" s="24">
        <f>SUM(Q155:Q168)</f>
        <v>633461336.8315861</v>
      </c>
      <c r="R169" s="25"/>
      <c r="S169" s="24">
        <f>SUM(S155:S168)</f>
        <v>122578782.33694327</v>
      </c>
      <c r="T169" s="24">
        <f>SUM(T155:T168)</f>
        <v>14426998.944508478</v>
      </c>
      <c r="U169" s="15"/>
      <c r="V169" s="1">
        <f t="shared" si="185"/>
        <v>3046.73565</v>
      </c>
      <c r="W169" s="1">
        <f t="shared" si="186"/>
        <v>2437.3885200000004</v>
      </c>
      <c r="X169" s="1">
        <f t="shared" si="187"/>
        <v>4052.1584145000006</v>
      </c>
      <c r="Y169" s="1">
        <f t="shared" si="188"/>
        <v>417.8380319999999</v>
      </c>
      <c r="Z169" s="1">
        <f t="shared" si="189"/>
        <v>334.27042559999995</v>
      </c>
      <c r="AA169" s="1">
        <f t="shared" si="190"/>
        <v>555.72458256</v>
      </c>
      <c r="AB169" s="1">
        <f t="shared" si="219"/>
        <v>22710.750553296</v>
      </c>
      <c r="AC169" s="1">
        <f t="shared" si="220"/>
        <v>18168.6004426368</v>
      </c>
      <c r="AD169" s="1">
        <f t="shared" si="221"/>
        <v>30205.29823588368</v>
      </c>
      <c r="AE169" s="1">
        <f t="shared" si="222"/>
        <v>13306.557016662</v>
      </c>
      <c r="AF169" s="1">
        <f t="shared" si="223"/>
        <v>10645.245613329604</v>
      </c>
      <c r="AG169" s="1">
        <f t="shared" si="224"/>
        <v>17697.720832160463</v>
      </c>
      <c r="AP169" t="s">
        <v>184</v>
      </c>
      <c r="AQ169" s="21" t="s">
        <v>171</v>
      </c>
      <c r="AR169">
        <v>2901653</v>
      </c>
      <c r="AS169" s="1">
        <f t="shared" si="225"/>
        <v>43524.795</v>
      </c>
      <c r="AT169" s="1">
        <f t="shared" si="227"/>
        <v>34819.836</v>
      </c>
      <c r="AU169" s="1">
        <f t="shared" si="228"/>
        <v>57887.97735</v>
      </c>
      <c r="AV169" s="1">
        <f t="shared" si="216"/>
        <v>11621.120265</v>
      </c>
      <c r="AW169" s="1">
        <f t="shared" si="217"/>
        <v>8704.959</v>
      </c>
      <c r="AX169" s="1">
        <f t="shared" si="218"/>
        <v>20326.079265</v>
      </c>
      <c r="AY169" s="1">
        <f t="shared" si="193"/>
        <v>2126.6650084949997</v>
      </c>
      <c r="AZ169" s="1">
        <f t="shared" si="194"/>
        <v>1243.163297365837</v>
      </c>
      <c r="BA169" s="1">
        <f t="shared" si="195"/>
        <v>2935.6483777264975</v>
      </c>
      <c r="BB169" s="1">
        <f t="shared" si="196"/>
        <v>674.02497537</v>
      </c>
      <c r="BC169" s="1">
        <f t="shared" si="197"/>
        <v>0</v>
      </c>
      <c r="BD169" s="1">
        <f t="shared" si="198"/>
        <v>1614.3572185086869</v>
      </c>
      <c r="BE169" s="1">
        <f t="shared" si="229"/>
        <v>6856.46095635</v>
      </c>
      <c r="BF169" s="1">
        <f t="shared" si="230"/>
        <v>5108.06341248075</v>
      </c>
      <c r="BG169" s="1">
        <f t="shared" si="231"/>
        <v>8975.10739186215</v>
      </c>
      <c r="BH169" s="1">
        <f t="shared" si="232"/>
        <v>1394.5344318</v>
      </c>
      <c r="BI169" s="1">
        <f t="shared" si="233"/>
        <v>886.9238986248</v>
      </c>
      <c r="BJ169" s="1">
        <f t="shared" si="234"/>
        <v>2029.047598269</v>
      </c>
      <c r="BL169" s="2">
        <v>0.95</v>
      </c>
      <c r="BM169" s="2">
        <v>0</v>
      </c>
      <c r="BO169" s="1">
        <f t="shared" si="199"/>
        <v>2126.6650084949997</v>
      </c>
      <c r="BP169" s="1">
        <f t="shared" si="200"/>
        <v>1243.163297365837</v>
      </c>
      <c r="BQ169" s="1">
        <f t="shared" si="201"/>
        <v>2935.6483777264975</v>
      </c>
      <c r="BR169" s="1">
        <f t="shared" si="202"/>
        <v>161.76599408879997</v>
      </c>
      <c r="BS169" s="1">
        <f t="shared" si="203"/>
        <v>0</v>
      </c>
      <c r="BT169" s="1">
        <f t="shared" si="204"/>
        <v>387.4457324420848</v>
      </c>
      <c r="BU169" s="1">
        <f t="shared" si="205"/>
        <v>6856.46095635</v>
      </c>
      <c r="BV169" s="1">
        <f t="shared" si="206"/>
        <v>5108.06341248075</v>
      </c>
      <c r="BW169" s="1">
        <f t="shared" si="207"/>
        <v>8975.10739186215</v>
      </c>
      <c r="BX169" s="1">
        <f t="shared" si="208"/>
        <v>1394.5344318</v>
      </c>
      <c r="BY169" s="1">
        <f t="shared" si="209"/>
        <v>886.9238986248</v>
      </c>
      <c r="BZ169" s="1">
        <f t="shared" si="210"/>
        <v>2029.047598269</v>
      </c>
      <c r="CA169" s="1">
        <f t="shared" si="211"/>
        <v>11108.8612837188</v>
      </c>
      <c r="CB169" s="1">
        <f t="shared" si="212"/>
        <v>8704.959</v>
      </c>
      <c r="CC169" s="1">
        <f t="shared" si="213"/>
        <v>19099.1677789334</v>
      </c>
      <c r="CD169" s="1">
        <f t="shared" si="176"/>
        <v>41870.85279</v>
      </c>
      <c r="CE169" s="1">
        <f t="shared" si="177"/>
        <v>33496.68223200001</v>
      </c>
      <c r="CF169" s="1">
        <f t="shared" si="178"/>
        <v>55688.2342107</v>
      </c>
      <c r="CG169" t="s">
        <v>184</v>
      </c>
      <c r="CH169" s="21" t="s">
        <v>171</v>
      </c>
      <c r="CI169">
        <v>2901653</v>
      </c>
      <c r="CJ169" s="102">
        <v>1.805454</v>
      </c>
      <c r="CK169" s="1">
        <v>28.46981</v>
      </c>
      <c r="CL169" s="1">
        <f t="shared" si="214"/>
        <v>30.275264</v>
      </c>
      <c r="CM169" s="1">
        <v>1.81551624363057</v>
      </c>
      <c r="CN169" s="1">
        <v>27.9642417869034</v>
      </c>
      <c r="CO169" s="1">
        <f t="shared" si="215"/>
        <v>29.77975803053397</v>
      </c>
      <c r="CP169" s="1">
        <f t="shared" si="179"/>
        <v>9.815408246863996</v>
      </c>
      <c r="CQ169" s="1">
        <f t="shared" si="180"/>
        <v>5.196567776328178</v>
      </c>
      <c r="CR169" s="1">
        <f t="shared" si="181"/>
        <v>13.567657758711277</v>
      </c>
      <c r="CS169" s="1">
        <f t="shared" si="182"/>
        <v>1.8123078224740286</v>
      </c>
      <c r="CT169" s="1">
        <f t="shared" si="183"/>
        <v>0.2209141067842217</v>
      </c>
      <c r="CU169" s="1">
        <f t="shared" si="184"/>
        <v>3.5529308774139117</v>
      </c>
    </row>
    <row r="170" spans="1:99" ht="13.5" customHeight="1">
      <c r="A170" s="143"/>
      <c r="D170"/>
      <c r="E170" s="139"/>
      <c r="F170"/>
      <c r="G170"/>
      <c r="H170"/>
      <c r="Q170" s="102">
        <f>Q153+Q154</f>
        <v>633461336.8315861</v>
      </c>
      <c r="S170" s="1">
        <f>S153+S154</f>
        <v>122578782.70694326</v>
      </c>
      <c r="T170" s="1">
        <f>T153+T154</f>
        <v>14426999.043298475</v>
      </c>
      <c r="V170" s="1">
        <f t="shared" si="185"/>
        <v>15.147341580000004</v>
      </c>
      <c r="W170" s="1">
        <f t="shared" si="186"/>
        <v>12.117873264000004</v>
      </c>
      <c r="X170" s="1">
        <f t="shared" si="187"/>
        <v>20.145964301400003</v>
      </c>
      <c r="Y170" s="1">
        <f t="shared" si="188"/>
        <v>3.7302768000000004</v>
      </c>
      <c r="Z170" s="1">
        <f t="shared" si="189"/>
        <v>2.984221439999999</v>
      </c>
      <c r="AA170" s="1">
        <f t="shared" si="190"/>
        <v>4.961268144000002</v>
      </c>
      <c r="AB170" s="1">
        <f t="shared" si="219"/>
        <v>210.90114629280004</v>
      </c>
      <c r="AC170" s="1">
        <f t="shared" si="220"/>
        <v>168.72091703424</v>
      </c>
      <c r="AD170" s="1">
        <f t="shared" si="221"/>
        <v>280.49852456942403</v>
      </c>
      <c r="AE170" s="1">
        <f t="shared" si="222"/>
        <v>123.57003003660003</v>
      </c>
      <c r="AF170" s="1">
        <f t="shared" si="223"/>
        <v>98.85602402928001</v>
      </c>
      <c r="AG170" s="1">
        <f t="shared" si="224"/>
        <v>164.348139948678</v>
      </c>
      <c r="AP170" t="s">
        <v>185</v>
      </c>
      <c r="AQ170" s="21" t="s">
        <v>171</v>
      </c>
      <c r="AR170">
        <v>28783</v>
      </c>
      <c r="AS170" s="1">
        <f t="shared" si="225"/>
        <v>431.745</v>
      </c>
      <c r="AT170" s="1">
        <f t="shared" si="227"/>
        <v>345.396</v>
      </c>
      <c r="AU170" s="1">
        <f t="shared" si="228"/>
        <v>574.22085</v>
      </c>
      <c r="AV170" s="1">
        <f t="shared" si="216"/>
        <v>115.27591500000001</v>
      </c>
      <c r="AW170" s="1">
        <f t="shared" si="217"/>
        <v>86.349</v>
      </c>
      <c r="AX170" s="1">
        <f t="shared" si="218"/>
        <v>201.62491500000002</v>
      </c>
      <c r="AY170" s="1">
        <f t="shared" si="193"/>
        <v>21.095492445</v>
      </c>
      <c r="AZ170" s="1">
        <f t="shared" si="194"/>
        <v>12.3315810636492</v>
      </c>
      <c r="BA170" s="1">
        <f t="shared" si="195"/>
        <v>29.120217771078003</v>
      </c>
      <c r="BB170" s="1">
        <f t="shared" si="196"/>
        <v>6.686003070000001</v>
      </c>
      <c r="BC170" s="1">
        <f t="shared" si="197"/>
        <v>0</v>
      </c>
      <c r="BD170" s="1">
        <f t="shared" si="198"/>
        <v>16.013645952957</v>
      </c>
      <c r="BE170" s="1">
        <f t="shared" si="229"/>
        <v>68.01278985</v>
      </c>
      <c r="BF170" s="1">
        <f t="shared" si="230"/>
        <v>50.669528438250005</v>
      </c>
      <c r="BG170" s="1">
        <f t="shared" si="231"/>
        <v>89.02874191365</v>
      </c>
      <c r="BH170" s="1">
        <f t="shared" si="232"/>
        <v>13.8331098</v>
      </c>
      <c r="BI170" s="1">
        <f t="shared" si="233"/>
        <v>8.7978578328</v>
      </c>
      <c r="BJ170" s="1">
        <f t="shared" si="234"/>
        <v>20.127174759000003</v>
      </c>
      <c r="BL170" s="2">
        <v>0.98</v>
      </c>
      <c r="BM170" s="2">
        <v>0.86</v>
      </c>
      <c r="BO170" s="1">
        <f t="shared" si="199"/>
        <v>10.573060813434001</v>
      </c>
      <c r="BP170" s="1">
        <f t="shared" si="200"/>
        <v>6.180588429100979</v>
      </c>
      <c r="BQ170" s="1">
        <f t="shared" si="201"/>
        <v>14.595053146864297</v>
      </c>
      <c r="BR170" s="1">
        <f t="shared" si="202"/>
        <v>1.4441766631199995</v>
      </c>
      <c r="BS170" s="1">
        <f t="shared" si="203"/>
        <v>0</v>
      </c>
      <c r="BT170" s="1">
        <f t="shared" si="204"/>
        <v>3.4589475258387115</v>
      </c>
      <c r="BU170" s="1">
        <f t="shared" si="205"/>
        <v>68.01278985</v>
      </c>
      <c r="BV170" s="1">
        <f t="shared" si="206"/>
        <v>50.669528438250005</v>
      </c>
      <c r="BW170" s="1">
        <f t="shared" si="207"/>
        <v>89.02874191365</v>
      </c>
      <c r="BX170" s="1">
        <f t="shared" si="208"/>
        <v>13.8331098</v>
      </c>
      <c r="BY170" s="1">
        <f t="shared" si="209"/>
        <v>8.7978578328</v>
      </c>
      <c r="BZ170" s="1">
        <f t="shared" si="210"/>
        <v>20.127174759000003</v>
      </c>
      <c r="CA170" s="1">
        <f t="shared" si="211"/>
        <v>99.51165696155402</v>
      </c>
      <c r="CB170" s="1">
        <f t="shared" si="212"/>
        <v>80.19800736545179</v>
      </c>
      <c r="CC170" s="1">
        <f t="shared" si="213"/>
        <v>174.545051948668</v>
      </c>
      <c r="CD170" s="1">
        <f t="shared" si="176"/>
        <v>388.82954700000005</v>
      </c>
      <c r="CE170" s="1">
        <f t="shared" si="177"/>
        <v>311.0636376</v>
      </c>
      <c r="CF170" s="1">
        <f t="shared" si="178"/>
        <v>517.14329751</v>
      </c>
      <c r="CG170" t="s">
        <v>185</v>
      </c>
      <c r="CH170" s="21" t="s">
        <v>171</v>
      </c>
      <c r="CI170">
        <v>28783</v>
      </c>
      <c r="CJ170" s="102">
        <v>0</v>
      </c>
      <c r="CK170" s="1">
        <v>0</v>
      </c>
      <c r="CL170" s="1">
        <f t="shared" si="214"/>
        <v>0</v>
      </c>
      <c r="CM170" s="1">
        <v>0</v>
      </c>
      <c r="CN170" s="1">
        <v>0</v>
      </c>
      <c r="CO170" s="1">
        <f t="shared" si="215"/>
        <v>0</v>
      </c>
      <c r="CP170" s="1">
        <f t="shared" si="179"/>
        <v>0</v>
      </c>
      <c r="CQ170" s="1">
        <f t="shared" si="180"/>
        <v>0</v>
      </c>
      <c r="CR170" s="1">
        <f t="shared" si="181"/>
        <v>0</v>
      </c>
      <c r="CS170" s="1">
        <f t="shared" si="182"/>
        <v>0</v>
      </c>
      <c r="CT170" s="1">
        <f t="shared" si="183"/>
        <v>0</v>
      </c>
      <c r="CU170" s="1">
        <f t="shared" si="184"/>
        <v>0</v>
      </c>
    </row>
    <row r="171" spans="1:99" ht="13.5" customHeight="1">
      <c r="A171" s="143" t="s">
        <v>307</v>
      </c>
      <c r="B171" s="134">
        <v>523317165</v>
      </c>
      <c r="C171" t="s">
        <v>329</v>
      </c>
      <c r="D171"/>
      <c r="E171" s="139"/>
      <c r="F171"/>
      <c r="G171"/>
      <c r="H171"/>
      <c r="Q171" s="243" t="s">
        <v>342</v>
      </c>
      <c r="R171" s="246">
        <f>((Q164*R164)+(Q165*R165)+(Q166*R166)+(Q167*R167)+(Q168*R168))/(SUM(Q164:Q168))</f>
        <v>0.025226374660581984</v>
      </c>
      <c r="S171" s="242" t="s">
        <v>561</v>
      </c>
      <c r="V171" s="1">
        <f t="shared" si="185"/>
        <v>20.0865</v>
      </c>
      <c r="W171" s="1">
        <f t="shared" si="186"/>
        <v>16.069200000000002</v>
      </c>
      <c r="X171" s="1">
        <f t="shared" si="187"/>
        <v>26.715045000000003</v>
      </c>
      <c r="Y171" s="1">
        <f t="shared" si="188"/>
        <v>4.499376</v>
      </c>
      <c r="Z171" s="1">
        <f t="shared" si="189"/>
        <v>3.5995007999999995</v>
      </c>
      <c r="AA171" s="1">
        <f t="shared" si="190"/>
        <v>5.98417008</v>
      </c>
      <c r="AB171" s="1">
        <f t="shared" si="219"/>
        <v>150.910172928</v>
      </c>
      <c r="AC171" s="1">
        <f t="shared" si="220"/>
        <v>120.7281383424</v>
      </c>
      <c r="AD171" s="1">
        <f t="shared" si="221"/>
        <v>200.71052999424</v>
      </c>
      <c r="AE171" s="1">
        <f t="shared" si="222"/>
        <v>88.42045161600001</v>
      </c>
      <c r="AF171" s="1">
        <f t="shared" si="223"/>
        <v>70.73636129280001</v>
      </c>
      <c r="AG171" s="1">
        <f t="shared" si="224"/>
        <v>117.59920064928002</v>
      </c>
      <c r="AP171" t="s">
        <v>186</v>
      </c>
      <c r="AQ171" s="21" t="s">
        <v>171</v>
      </c>
      <c r="AR171">
        <v>19130</v>
      </c>
      <c r="AS171" s="1">
        <f t="shared" si="225"/>
        <v>286.95</v>
      </c>
      <c r="AT171" s="1">
        <f t="shared" si="227"/>
        <v>229.56</v>
      </c>
      <c r="AU171" s="1">
        <f t="shared" si="228"/>
        <v>381.6435</v>
      </c>
      <c r="AV171" s="1">
        <f t="shared" si="216"/>
        <v>76.61565</v>
      </c>
      <c r="AW171" s="1">
        <f t="shared" si="217"/>
        <v>57.39</v>
      </c>
      <c r="AX171" s="1">
        <f t="shared" si="218"/>
        <v>134.00565</v>
      </c>
      <c r="AY171" s="1">
        <f t="shared" si="193"/>
        <v>14.02066395</v>
      </c>
      <c r="AZ171" s="1">
        <f t="shared" si="194"/>
        <v>8.195919318611999</v>
      </c>
      <c r="BA171" s="1">
        <f t="shared" si="195"/>
        <v>19.35412451658</v>
      </c>
      <c r="BB171" s="1">
        <f t="shared" si="196"/>
        <v>4.4437077</v>
      </c>
      <c r="BC171" s="1">
        <f t="shared" si="197"/>
        <v>0</v>
      </c>
      <c r="BD171" s="1">
        <f t="shared" si="198"/>
        <v>10.643124312269999</v>
      </c>
      <c r="BE171" s="1">
        <f t="shared" si="229"/>
        <v>45.203233499999996</v>
      </c>
      <c r="BF171" s="1">
        <f t="shared" si="230"/>
        <v>33.676408957499994</v>
      </c>
      <c r="BG171" s="1">
        <f t="shared" si="231"/>
        <v>59.17103265149999</v>
      </c>
      <c r="BH171" s="1">
        <f t="shared" si="232"/>
        <v>9.193878</v>
      </c>
      <c r="BI171" s="1">
        <f t="shared" si="233"/>
        <v>5.847306408</v>
      </c>
      <c r="BJ171" s="1">
        <f t="shared" si="234"/>
        <v>13.37709249</v>
      </c>
      <c r="BL171" s="2">
        <v>0.76</v>
      </c>
      <c r="BM171" s="2">
        <v>0</v>
      </c>
      <c r="BO171" s="1">
        <f t="shared" si="199"/>
        <v>14.02066395</v>
      </c>
      <c r="BP171" s="1">
        <f t="shared" si="200"/>
        <v>8.195919318611999</v>
      </c>
      <c r="BQ171" s="1">
        <f t="shared" si="201"/>
        <v>19.35412451658</v>
      </c>
      <c r="BR171" s="1">
        <f t="shared" si="202"/>
        <v>1.7419334183999995</v>
      </c>
      <c r="BS171" s="1">
        <f t="shared" si="203"/>
        <v>0</v>
      </c>
      <c r="BT171" s="1">
        <f t="shared" si="204"/>
        <v>4.172104730409839</v>
      </c>
      <c r="BU171" s="1">
        <f t="shared" si="205"/>
        <v>45.203233499999996</v>
      </c>
      <c r="BV171" s="1">
        <f t="shared" si="206"/>
        <v>33.676408957499994</v>
      </c>
      <c r="BW171" s="1">
        <f t="shared" si="207"/>
        <v>59.17103265149999</v>
      </c>
      <c r="BX171" s="1">
        <f t="shared" si="208"/>
        <v>9.193878</v>
      </c>
      <c r="BY171" s="1">
        <f t="shared" si="209"/>
        <v>5.847306408</v>
      </c>
      <c r="BZ171" s="1">
        <f t="shared" si="210"/>
        <v>13.37709249</v>
      </c>
      <c r="CA171" s="1">
        <f t="shared" si="211"/>
        <v>73.9138757184</v>
      </c>
      <c r="CB171" s="1">
        <f t="shared" si="212"/>
        <v>57.39</v>
      </c>
      <c r="CC171" s="1">
        <f t="shared" si="213"/>
        <v>127.53463041813984</v>
      </c>
      <c r="CD171" s="1">
        <f t="shared" si="176"/>
        <v>278.22672</v>
      </c>
      <c r="CE171" s="1">
        <f t="shared" si="177"/>
        <v>222.581376</v>
      </c>
      <c r="CF171" s="1">
        <f t="shared" si="178"/>
        <v>370.0415376</v>
      </c>
      <c r="CG171" t="s">
        <v>186</v>
      </c>
      <c r="CH171" s="21" t="s">
        <v>171</v>
      </c>
      <c r="CI171">
        <v>19130</v>
      </c>
      <c r="CJ171" s="102">
        <v>0</v>
      </c>
      <c r="CK171" s="1">
        <v>0</v>
      </c>
      <c r="CL171" s="1">
        <f t="shared" si="214"/>
        <v>0</v>
      </c>
      <c r="CM171" s="1">
        <v>0</v>
      </c>
      <c r="CN171" s="1">
        <v>0</v>
      </c>
      <c r="CO171" s="1">
        <f t="shared" si="215"/>
        <v>0</v>
      </c>
      <c r="CP171" s="1">
        <f t="shared" si="179"/>
        <v>0</v>
      </c>
      <c r="CQ171" s="1">
        <f t="shared" si="180"/>
        <v>0</v>
      </c>
      <c r="CR171" s="1">
        <f t="shared" si="181"/>
        <v>0</v>
      </c>
      <c r="CS171" s="1">
        <f t="shared" si="182"/>
        <v>0</v>
      </c>
      <c r="CT171" s="1">
        <f t="shared" si="183"/>
        <v>0</v>
      </c>
      <c r="CU171" s="1">
        <f t="shared" si="184"/>
        <v>0</v>
      </c>
    </row>
    <row r="172" spans="1:99" ht="13.5" customHeight="1">
      <c r="A172" s="143" t="s">
        <v>308</v>
      </c>
      <c r="B172" s="134">
        <v>81614733</v>
      </c>
      <c r="C172" t="s">
        <v>329</v>
      </c>
      <c r="D172"/>
      <c r="E172" s="139"/>
      <c r="F172"/>
      <c r="G172"/>
      <c r="H172"/>
      <c r="R172" s="245"/>
      <c r="V172" s="1">
        <f t="shared" si="185"/>
        <v>2.1010500000000003</v>
      </c>
      <c r="W172" s="1">
        <f t="shared" si="186"/>
        <v>1.6808400000000001</v>
      </c>
      <c r="X172" s="1">
        <f t="shared" si="187"/>
        <v>2.7943965000000004</v>
      </c>
      <c r="Y172" s="1">
        <f t="shared" si="188"/>
        <v>0.24972479999999997</v>
      </c>
      <c r="Z172" s="1">
        <f t="shared" si="189"/>
        <v>0.19977983999999993</v>
      </c>
      <c r="AA172" s="1">
        <f t="shared" si="190"/>
        <v>0.33213398399999994</v>
      </c>
      <c r="AB172" s="1">
        <f t="shared" si="219"/>
        <v>15.635442614399999</v>
      </c>
      <c r="AC172" s="1">
        <f t="shared" si="220"/>
        <v>12.508354091520001</v>
      </c>
      <c r="AD172" s="1">
        <f t="shared" si="221"/>
        <v>20.795138677152</v>
      </c>
      <c r="AE172" s="1">
        <f t="shared" si="222"/>
        <v>9.1610318268</v>
      </c>
      <c r="AF172" s="1">
        <f t="shared" si="223"/>
        <v>7.328825461440001</v>
      </c>
      <c r="AG172" s="1">
        <f t="shared" si="224"/>
        <v>12.184172329644001</v>
      </c>
      <c r="AP172" t="s">
        <v>187</v>
      </c>
      <c r="AQ172" s="21" t="s">
        <v>171</v>
      </c>
      <c r="AR172">
        <v>2001</v>
      </c>
      <c r="AS172" s="1">
        <f t="shared" si="225"/>
        <v>30.015</v>
      </c>
      <c r="AT172" s="1">
        <f t="shared" si="227"/>
        <v>24.012</v>
      </c>
      <c r="AU172" s="1">
        <f t="shared" si="228"/>
        <v>39.91995</v>
      </c>
      <c r="AV172" s="1">
        <f t="shared" si="216"/>
        <v>8.014005000000001</v>
      </c>
      <c r="AW172" s="1">
        <f t="shared" si="217"/>
        <v>6.003</v>
      </c>
      <c r="AX172" s="1">
        <f t="shared" si="218"/>
        <v>14.017005000000001</v>
      </c>
      <c r="AY172" s="1">
        <f t="shared" si="193"/>
        <v>1.4665629150000001</v>
      </c>
      <c r="AZ172" s="1">
        <f t="shared" si="194"/>
        <v>0.8572940175924</v>
      </c>
      <c r="BA172" s="1">
        <f t="shared" si="195"/>
        <v>2.0244434478660005</v>
      </c>
      <c r="BB172" s="1">
        <f t="shared" si="196"/>
        <v>0.4648122900000001</v>
      </c>
      <c r="BC172" s="1">
        <f t="shared" si="197"/>
        <v>0</v>
      </c>
      <c r="BD172" s="1">
        <f t="shared" si="198"/>
        <v>1.113271915779</v>
      </c>
      <c r="BE172" s="1">
        <f t="shared" si="229"/>
        <v>4.72826295</v>
      </c>
      <c r="BF172" s="1">
        <f t="shared" si="230"/>
        <v>3.52255589775</v>
      </c>
      <c r="BG172" s="1">
        <f t="shared" si="231"/>
        <v>6.18929620155</v>
      </c>
      <c r="BH172" s="1">
        <f t="shared" si="232"/>
        <v>0.9616806000000001</v>
      </c>
      <c r="BI172" s="1">
        <f t="shared" si="233"/>
        <v>0.6116288616000001</v>
      </c>
      <c r="BJ172" s="1">
        <f t="shared" si="234"/>
        <v>1.3992452730000002</v>
      </c>
      <c r="BL172" s="2">
        <v>0.99</v>
      </c>
      <c r="BM172" s="2">
        <v>0</v>
      </c>
      <c r="BO172" s="1">
        <f t="shared" si="199"/>
        <v>1.4665629150000001</v>
      </c>
      <c r="BP172" s="1">
        <f t="shared" si="200"/>
        <v>0.8572940175924</v>
      </c>
      <c r="BQ172" s="1">
        <f t="shared" si="201"/>
        <v>2.0244434478660005</v>
      </c>
      <c r="BR172" s="1">
        <f t="shared" si="202"/>
        <v>0.09668095632000001</v>
      </c>
      <c r="BS172" s="1">
        <f t="shared" si="203"/>
        <v>0</v>
      </c>
      <c r="BT172" s="1">
        <f t="shared" si="204"/>
        <v>0.23156055848203194</v>
      </c>
      <c r="BU172" s="1">
        <f t="shared" si="205"/>
        <v>4.72826295</v>
      </c>
      <c r="BV172" s="1">
        <f t="shared" si="206"/>
        <v>3.52255589775</v>
      </c>
      <c r="BW172" s="1">
        <f t="shared" si="207"/>
        <v>6.18929620155</v>
      </c>
      <c r="BX172" s="1">
        <f t="shared" si="208"/>
        <v>0.9616806000000001</v>
      </c>
      <c r="BY172" s="1">
        <f t="shared" si="209"/>
        <v>0.6116288616000001</v>
      </c>
      <c r="BZ172" s="1">
        <f t="shared" si="210"/>
        <v>1.3992452730000002</v>
      </c>
      <c r="CA172" s="1">
        <f t="shared" si="211"/>
        <v>7.645873666320001</v>
      </c>
      <c r="CB172" s="1">
        <f t="shared" si="212"/>
        <v>6.003</v>
      </c>
      <c r="CC172" s="1">
        <f t="shared" si="213"/>
        <v>13.135293642703033</v>
      </c>
      <c r="CD172" s="1">
        <f t="shared" si="176"/>
        <v>28.826406</v>
      </c>
      <c r="CE172" s="1">
        <f t="shared" si="177"/>
        <v>23.0611248</v>
      </c>
      <c r="CF172" s="1">
        <f t="shared" si="178"/>
        <v>38.33911998</v>
      </c>
      <c r="CG172" t="s">
        <v>187</v>
      </c>
      <c r="CH172" s="21" t="s">
        <v>171</v>
      </c>
      <c r="CI172">
        <v>2001</v>
      </c>
      <c r="CJ172" s="102">
        <v>0.0057487</v>
      </c>
      <c r="CK172" s="1">
        <v>0.0665752</v>
      </c>
      <c r="CL172" s="1">
        <f t="shared" si="214"/>
        <v>0.0723239</v>
      </c>
      <c r="CM172" s="1">
        <v>0.0057487</v>
      </c>
      <c r="CN172" s="1">
        <v>0.0665752</v>
      </c>
      <c r="CO172" s="1">
        <f t="shared" si="215"/>
        <v>0.0723239</v>
      </c>
      <c r="CP172" s="1">
        <f t="shared" si="179"/>
        <v>0.023837957439999998</v>
      </c>
      <c r="CQ172" s="1">
        <f t="shared" si="180"/>
        <v>0.012620520549999998</v>
      </c>
      <c r="CR172" s="1">
        <f t="shared" si="181"/>
        <v>0.03295076884</v>
      </c>
      <c r="CS172" s="1">
        <f t="shared" si="182"/>
        <v>0.003845768067753955</v>
      </c>
      <c r="CT172" s="1">
        <f t="shared" si="183"/>
        <v>0.00046544244891000904</v>
      </c>
      <c r="CU172" s="1">
        <f t="shared" si="184"/>
        <v>0.007599125916434442</v>
      </c>
    </row>
    <row r="173" spans="1:99" ht="13.5" customHeight="1">
      <c r="A173" s="143" t="s">
        <v>309</v>
      </c>
      <c r="B173" s="134">
        <v>604931898</v>
      </c>
      <c r="C173" t="s">
        <v>329</v>
      </c>
      <c r="D173"/>
      <c r="E173" s="139"/>
      <c r="F173"/>
      <c r="G173"/>
      <c r="H173"/>
      <c r="V173" s="1">
        <f t="shared" si="185"/>
        <v>434.7476884800001</v>
      </c>
      <c r="W173" s="1">
        <f t="shared" si="186"/>
        <v>347.7981507840001</v>
      </c>
      <c r="X173" s="1">
        <f t="shared" si="187"/>
        <v>578.2144256784002</v>
      </c>
      <c r="Y173" s="1">
        <f t="shared" si="188"/>
        <v>125.55889919999998</v>
      </c>
      <c r="Z173" s="1">
        <f t="shared" si="189"/>
        <v>100.44711935999999</v>
      </c>
      <c r="AA173" s="1">
        <f t="shared" si="190"/>
        <v>166.993335936</v>
      </c>
      <c r="AB173" s="1">
        <f t="shared" si="219"/>
        <v>6795.113097311999</v>
      </c>
      <c r="AC173" s="1">
        <f t="shared" si="220"/>
        <v>5436.090477849601</v>
      </c>
      <c r="AD173" s="1">
        <f t="shared" si="221"/>
        <v>9037.50041942496</v>
      </c>
      <c r="AE173" s="1">
        <f t="shared" si="222"/>
        <v>3981.354982164</v>
      </c>
      <c r="AF173" s="1">
        <f t="shared" si="223"/>
        <v>3185.0839857312008</v>
      </c>
      <c r="AG173" s="1">
        <f t="shared" si="224"/>
        <v>5295.20212627812</v>
      </c>
      <c r="AP173" t="s">
        <v>188</v>
      </c>
      <c r="AQ173" s="21" t="s">
        <v>171</v>
      </c>
      <c r="AR173">
        <v>934218</v>
      </c>
      <c r="AS173" s="1">
        <f t="shared" si="225"/>
        <v>14013.269999999999</v>
      </c>
      <c r="AT173" s="1">
        <f t="shared" si="227"/>
        <v>11210.616</v>
      </c>
      <c r="AU173" s="1">
        <f t="shared" si="228"/>
        <v>18637.6491</v>
      </c>
      <c r="AV173" s="1">
        <f t="shared" si="216"/>
        <v>3741.5430899999997</v>
      </c>
      <c r="AW173" s="1">
        <f t="shared" si="217"/>
        <v>2802.654</v>
      </c>
      <c r="AX173" s="1">
        <f t="shared" si="218"/>
        <v>6544.19709</v>
      </c>
      <c r="AY173" s="1">
        <f t="shared" si="193"/>
        <v>684.70238547</v>
      </c>
      <c r="AZ173" s="1">
        <f t="shared" si="194"/>
        <v>400.24962645034316</v>
      </c>
      <c r="BA173" s="1">
        <f t="shared" si="195"/>
        <v>945.163172902788</v>
      </c>
      <c r="BB173" s="1">
        <f t="shared" si="196"/>
        <v>217.00949921999998</v>
      </c>
      <c r="BC173" s="1">
        <f t="shared" si="197"/>
        <v>0</v>
      </c>
      <c r="BD173" s="1">
        <f t="shared" si="198"/>
        <v>519.759451581822</v>
      </c>
      <c r="BE173" s="1">
        <f t="shared" si="229"/>
        <v>2207.5104230999996</v>
      </c>
      <c r="BF173" s="1">
        <f t="shared" si="230"/>
        <v>1644.5952652094998</v>
      </c>
      <c r="BG173" s="1">
        <f t="shared" si="231"/>
        <v>2889.6311438378993</v>
      </c>
      <c r="BH173" s="1">
        <f t="shared" si="232"/>
        <v>448.98517079999993</v>
      </c>
      <c r="BI173" s="1">
        <f t="shared" si="233"/>
        <v>285.5545686288</v>
      </c>
      <c r="BJ173" s="1">
        <f t="shared" si="234"/>
        <v>653.2734235139999</v>
      </c>
      <c r="BL173" s="2">
        <v>0.97</v>
      </c>
      <c r="BM173" s="2">
        <v>0.96</v>
      </c>
      <c r="BO173" s="1">
        <f t="shared" si="199"/>
        <v>303.46009724030404</v>
      </c>
      <c r="BP173" s="1">
        <f t="shared" si="200"/>
        <v>177.3906344427921</v>
      </c>
      <c r="BQ173" s="1">
        <f t="shared" si="201"/>
        <v>418.8963182305157</v>
      </c>
      <c r="BR173" s="1">
        <f t="shared" si="202"/>
        <v>48.61012782527999</v>
      </c>
      <c r="BS173" s="1">
        <f t="shared" si="203"/>
        <v>0</v>
      </c>
      <c r="BT173" s="1">
        <f t="shared" si="204"/>
        <v>116.42611715432815</v>
      </c>
      <c r="BU173" s="1">
        <f t="shared" si="205"/>
        <v>2207.5104230999996</v>
      </c>
      <c r="BV173" s="1">
        <f t="shared" si="206"/>
        <v>1644.5952652094998</v>
      </c>
      <c r="BW173" s="1">
        <f t="shared" si="207"/>
        <v>2889.6311438378993</v>
      </c>
      <c r="BX173" s="1">
        <f t="shared" si="208"/>
        <v>448.98517079999993</v>
      </c>
      <c r="BY173" s="1">
        <f t="shared" si="209"/>
        <v>285.5545686288</v>
      </c>
      <c r="BZ173" s="1">
        <f t="shared" si="210"/>
        <v>653.2734235139999</v>
      </c>
      <c r="CA173" s="1">
        <f t="shared" si="211"/>
        <v>3191.901430375584</v>
      </c>
      <c r="CB173" s="1">
        <f t="shared" si="212"/>
        <v>2579.795007992449</v>
      </c>
      <c r="CC173" s="1">
        <f t="shared" si="213"/>
        <v>5614.596900900233</v>
      </c>
      <c r="CD173" s="1">
        <f t="shared" si="176"/>
        <v>12527.863379999999</v>
      </c>
      <c r="CE173" s="1">
        <f t="shared" si="177"/>
        <v>10022.290704000001</v>
      </c>
      <c r="CF173" s="1">
        <f t="shared" si="178"/>
        <v>16662.0582954</v>
      </c>
      <c r="CG173" t="s">
        <v>188</v>
      </c>
      <c r="CH173" s="21" t="s">
        <v>171</v>
      </c>
      <c r="CI173">
        <v>934218</v>
      </c>
      <c r="CJ173" s="102">
        <v>7.027503</v>
      </c>
      <c r="CK173" s="1">
        <v>12.60098</v>
      </c>
      <c r="CL173" s="1">
        <f t="shared" si="214"/>
        <v>19.628483</v>
      </c>
      <c r="CM173" s="1">
        <v>6.59781346745562</v>
      </c>
      <c r="CN173" s="1">
        <v>11.0971593415638</v>
      </c>
      <c r="CO173" s="1">
        <f t="shared" si="215"/>
        <v>17.694972809019422</v>
      </c>
      <c r="CP173" s="1">
        <f t="shared" si="179"/>
        <v>3.165862030520969</v>
      </c>
      <c r="CQ173" s="1">
        <f t="shared" si="180"/>
        <v>1.5157761179554037</v>
      </c>
      <c r="CR173" s="1">
        <f t="shared" si="181"/>
        <v>4.78748216847898</v>
      </c>
      <c r="CS173" s="1">
        <f t="shared" si="182"/>
        <v>1.0091670272560906</v>
      </c>
      <c r="CT173" s="1">
        <f t="shared" si="183"/>
        <v>0.12257553421795928</v>
      </c>
      <c r="CU173" s="1">
        <f t="shared" si="184"/>
        <v>1.986188071716285</v>
      </c>
    </row>
    <row r="174" spans="1:99" ht="13.5" customHeight="1">
      <c r="A174" s="143"/>
      <c r="B174" s="134"/>
      <c r="D174"/>
      <c r="E174" s="139"/>
      <c r="F174"/>
      <c r="G174"/>
      <c r="H174"/>
      <c r="V174" s="1">
        <f t="shared" si="185"/>
        <v>150.25373307000004</v>
      </c>
      <c r="W174" s="1">
        <f t="shared" si="186"/>
        <v>120.20298645600002</v>
      </c>
      <c r="X174" s="1">
        <f t="shared" si="187"/>
        <v>199.8374649831</v>
      </c>
      <c r="Y174" s="1">
        <f t="shared" si="188"/>
        <v>45.09339360000001</v>
      </c>
      <c r="Z174" s="1">
        <f t="shared" si="189"/>
        <v>36.07471488</v>
      </c>
      <c r="AA174" s="1">
        <f t="shared" si="190"/>
        <v>59.974213488000004</v>
      </c>
      <c r="AB174" s="1">
        <f t="shared" si="219"/>
        <v>2215.8260852904</v>
      </c>
      <c r="AC174" s="1">
        <f t="shared" si="220"/>
        <v>1772.6608682323204</v>
      </c>
      <c r="AD174" s="1">
        <f t="shared" si="221"/>
        <v>2947.0486934362316</v>
      </c>
      <c r="AE174" s="1">
        <f t="shared" si="222"/>
        <v>1298.2845315363002</v>
      </c>
      <c r="AF174" s="1">
        <f t="shared" si="223"/>
        <v>1038.6276252290402</v>
      </c>
      <c r="AG174" s="1">
        <f t="shared" si="224"/>
        <v>1726.718426943279</v>
      </c>
      <c r="AP174" t="s">
        <v>189</v>
      </c>
      <c r="AQ174" s="21" t="s">
        <v>171</v>
      </c>
      <c r="AR174">
        <v>303047</v>
      </c>
      <c r="AS174" s="1">
        <f t="shared" si="225"/>
        <v>4545.705</v>
      </c>
      <c r="AT174" s="1">
        <f t="shared" si="227"/>
        <v>3636.5640000000003</v>
      </c>
      <c r="AU174" s="1">
        <f t="shared" si="228"/>
        <v>6045.78765</v>
      </c>
      <c r="AV174" s="1">
        <f t="shared" si="216"/>
        <v>1213.703235</v>
      </c>
      <c r="AW174" s="1">
        <f t="shared" si="217"/>
        <v>909.1410000000001</v>
      </c>
      <c r="AX174" s="1">
        <f t="shared" si="218"/>
        <v>2122.844235</v>
      </c>
      <c r="AY174" s="1">
        <f t="shared" si="193"/>
        <v>222.107692005</v>
      </c>
      <c r="AZ174" s="1">
        <f t="shared" si="194"/>
        <v>129.8352724384428</v>
      </c>
      <c r="BA174" s="1">
        <f t="shared" si="195"/>
        <v>306.597458043702</v>
      </c>
      <c r="BB174" s="1">
        <f t="shared" si="196"/>
        <v>70.39478763</v>
      </c>
      <c r="BC174" s="1">
        <f t="shared" si="197"/>
        <v>0</v>
      </c>
      <c r="BD174" s="1">
        <f t="shared" si="198"/>
        <v>168.60255585261297</v>
      </c>
      <c r="BE174" s="1">
        <f t="shared" si="229"/>
        <v>716.08490865</v>
      </c>
      <c r="BF174" s="1">
        <f t="shared" si="230"/>
        <v>533.48325694425</v>
      </c>
      <c r="BG174" s="1">
        <f t="shared" si="231"/>
        <v>937.3551454228499</v>
      </c>
      <c r="BH174" s="1">
        <f t="shared" si="232"/>
        <v>145.64438819999998</v>
      </c>
      <c r="BI174" s="1">
        <f t="shared" si="233"/>
        <v>92.62983089519999</v>
      </c>
      <c r="BJ174" s="1">
        <f t="shared" si="234"/>
        <v>211.91258483099998</v>
      </c>
      <c r="BL174" s="2">
        <v>0.94</v>
      </c>
      <c r="BM174" s="2">
        <v>0.91</v>
      </c>
      <c r="BO174" s="1">
        <f t="shared" si="199"/>
        <v>104.879252164761</v>
      </c>
      <c r="BP174" s="1">
        <f t="shared" si="200"/>
        <v>61.30821564543268</v>
      </c>
      <c r="BQ174" s="1">
        <f t="shared" si="201"/>
        <v>144.7753196882361</v>
      </c>
      <c r="BR174" s="1">
        <f t="shared" si="202"/>
        <v>17.457907332240005</v>
      </c>
      <c r="BS174" s="1">
        <f t="shared" si="203"/>
        <v>0</v>
      </c>
      <c r="BT174" s="1">
        <f t="shared" si="204"/>
        <v>41.81343385144801</v>
      </c>
      <c r="BU174" s="1">
        <f t="shared" si="205"/>
        <v>716.08490865</v>
      </c>
      <c r="BV174" s="1">
        <f t="shared" si="206"/>
        <v>533.48325694425</v>
      </c>
      <c r="BW174" s="1">
        <f t="shared" si="207"/>
        <v>937.3551454228499</v>
      </c>
      <c r="BX174" s="1">
        <f t="shared" si="208"/>
        <v>145.64438819999998</v>
      </c>
      <c r="BY174" s="1">
        <f t="shared" si="209"/>
        <v>92.62983089519999</v>
      </c>
      <c r="BZ174" s="1">
        <f t="shared" si="210"/>
        <v>211.91258483099998</v>
      </c>
      <c r="CA174" s="1">
        <f t="shared" si="211"/>
        <v>1043.5379148620011</v>
      </c>
      <c r="CB174" s="1">
        <f t="shared" si="212"/>
        <v>840.6139432069899</v>
      </c>
      <c r="CC174" s="1">
        <f t="shared" si="213"/>
        <v>1834.232974643369</v>
      </c>
      <c r="CD174" s="1">
        <f t="shared" si="176"/>
        <v>4085.2250835</v>
      </c>
      <c r="CE174" s="1">
        <f t="shared" si="177"/>
        <v>3268.1800668000005</v>
      </c>
      <c r="CF174" s="1">
        <f t="shared" si="178"/>
        <v>5433.3493610549995</v>
      </c>
      <c r="CG174" t="s">
        <v>189</v>
      </c>
      <c r="CH174" s="21" t="s">
        <v>171</v>
      </c>
      <c r="CI174">
        <v>303047</v>
      </c>
      <c r="CJ174" s="102">
        <v>0</v>
      </c>
      <c r="CK174" s="1">
        <v>3.200361</v>
      </c>
      <c r="CL174" s="1">
        <f t="shared" si="214"/>
        <v>3.200361</v>
      </c>
      <c r="CM174" s="1">
        <v>0</v>
      </c>
      <c r="CN174" s="1">
        <v>3.0003384375</v>
      </c>
      <c r="CO174" s="1">
        <f t="shared" si="215"/>
        <v>3.0003384375</v>
      </c>
      <c r="CP174" s="1">
        <f t="shared" si="179"/>
        <v>0.5653063550434634</v>
      </c>
      <c r="CQ174" s="1">
        <f t="shared" si="180"/>
        <v>0.27230409341581835</v>
      </c>
      <c r="CR174" s="1">
        <f t="shared" si="181"/>
        <v>0.8498309457845501</v>
      </c>
      <c r="CS174" s="1">
        <f t="shared" si="182"/>
        <v>0.1882961246346972</v>
      </c>
      <c r="CT174" s="1">
        <f t="shared" si="183"/>
        <v>0.022993526956083435</v>
      </c>
      <c r="CU174" s="1">
        <f t="shared" si="184"/>
        <v>0.3684279413881351</v>
      </c>
    </row>
    <row r="175" spans="1:99" ht="13.5" customHeight="1">
      <c r="A175" s="143" t="s">
        <v>310</v>
      </c>
      <c r="B175" s="134">
        <v>547284046</v>
      </c>
      <c r="C175" t="s">
        <v>329</v>
      </c>
      <c r="D175"/>
      <c r="E175" s="139"/>
      <c r="F175"/>
      <c r="G175"/>
      <c r="H175"/>
      <c r="V175" s="1">
        <f t="shared" si="185"/>
        <v>2030.0574000000001</v>
      </c>
      <c r="W175" s="1">
        <f t="shared" si="186"/>
        <v>1624.0459200000003</v>
      </c>
      <c r="X175" s="1">
        <f t="shared" si="187"/>
        <v>2699.9763420000004</v>
      </c>
      <c r="Y175" s="1">
        <f t="shared" si="188"/>
        <v>241.2868223999999</v>
      </c>
      <c r="Z175" s="1">
        <f t="shared" si="189"/>
        <v>193.0294579199999</v>
      </c>
      <c r="AA175" s="1">
        <f t="shared" si="190"/>
        <v>320.91147379200015</v>
      </c>
      <c r="AB175" s="1">
        <f t="shared" si="219"/>
        <v>15107.1349951872</v>
      </c>
      <c r="AC175" s="1">
        <f t="shared" si="220"/>
        <v>12085.707996149762</v>
      </c>
      <c r="AD175" s="1">
        <f t="shared" si="221"/>
        <v>20092.48954359898</v>
      </c>
      <c r="AE175" s="1">
        <f t="shared" si="222"/>
        <v>8851.488756398401</v>
      </c>
      <c r="AF175" s="1">
        <f t="shared" si="223"/>
        <v>7081.1910051187215</v>
      </c>
      <c r="AG175" s="1">
        <f t="shared" si="224"/>
        <v>11772.480046009874</v>
      </c>
      <c r="AP175" t="s">
        <v>202</v>
      </c>
      <c r="AQ175" s="21" t="s">
        <v>171</v>
      </c>
      <c r="AR175">
        <v>1933388</v>
      </c>
      <c r="AS175" s="1">
        <f t="shared" si="225"/>
        <v>29000.82</v>
      </c>
      <c r="AT175" s="1">
        <f t="shared" si="227"/>
        <v>23200.656000000003</v>
      </c>
      <c r="AU175" s="1">
        <f t="shared" si="228"/>
        <v>38571.0906</v>
      </c>
      <c r="AV175" s="1">
        <f t="shared" si="216"/>
        <v>7743.218940000001</v>
      </c>
      <c r="AW175" s="1">
        <f t="shared" si="217"/>
        <v>5800.164000000001</v>
      </c>
      <c r="AX175" s="1">
        <f t="shared" si="218"/>
        <v>13543.382940000001</v>
      </c>
      <c r="AY175" s="1">
        <f t="shared" si="193"/>
        <v>1417.00906602</v>
      </c>
      <c r="AZ175" s="1">
        <f t="shared" si="194"/>
        <v>828.3268196326512</v>
      </c>
      <c r="BA175" s="1">
        <f t="shared" si="195"/>
        <v>1956.0393147340083</v>
      </c>
      <c r="BB175" s="1">
        <f t="shared" si="196"/>
        <v>449.10669852000007</v>
      </c>
      <c r="BC175" s="1">
        <f t="shared" si="197"/>
        <v>0</v>
      </c>
      <c r="BD175" s="1">
        <f t="shared" si="198"/>
        <v>1075.655453625252</v>
      </c>
      <c r="BE175" s="1">
        <f t="shared" si="229"/>
        <v>4568.4991746000005</v>
      </c>
      <c r="BF175" s="1">
        <f t="shared" si="230"/>
        <v>3403.5318850770004</v>
      </c>
      <c r="BG175" s="1">
        <f t="shared" si="231"/>
        <v>5980.1654195514</v>
      </c>
      <c r="BH175" s="1">
        <f t="shared" si="232"/>
        <v>929.1862728000001</v>
      </c>
      <c r="BI175" s="1">
        <f t="shared" si="233"/>
        <v>590.9624695008001</v>
      </c>
      <c r="BJ175" s="1">
        <f t="shared" si="234"/>
        <v>1351.9660269240003</v>
      </c>
      <c r="BL175" s="2">
        <v>0.99</v>
      </c>
      <c r="BM175" s="2">
        <v>0</v>
      </c>
      <c r="BO175" s="1">
        <f t="shared" si="199"/>
        <v>1417.00906602</v>
      </c>
      <c r="BP175" s="1">
        <f t="shared" si="200"/>
        <v>828.3268196326512</v>
      </c>
      <c r="BQ175" s="1">
        <f t="shared" si="201"/>
        <v>1956.0393147340083</v>
      </c>
      <c r="BR175" s="1">
        <f t="shared" si="202"/>
        <v>93.41419329216001</v>
      </c>
      <c r="BS175" s="1">
        <f t="shared" si="203"/>
        <v>0</v>
      </c>
      <c r="BT175" s="1">
        <f t="shared" si="204"/>
        <v>223.73633435405236</v>
      </c>
      <c r="BU175" s="1">
        <f t="shared" si="205"/>
        <v>4568.4991746000005</v>
      </c>
      <c r="BV175" s="1">
        <f t="shared" si="206"/>
        <v>3403.5318850770004</v>
      </c>
      <c r="BW175" s="1">
        <f t="shared" si="207"/>
        <v>5980.1654195514</v>
      </c>
      <c r="BX175" s="1">
        <f t="shared" si="208"/>
        <v>929.1862728000001</v>
      </c>
      <c r="BY175" s="1">
        <f t="shared" si="209"/>
        <v>590.9624695008001</v>
      </c>
      <c r="BZ175" s="1">
        <f t="shared" si="210"/>
        <v>1351.9660269240003</v>
      </c>
      <c r="CA175" s="1">
        <f t="shared" si="211"/>
        <v>7387.52643477216</v>
      </c>
      <c r="CB175" s="1">
        <f t="shared" si="212"/>
        <v>5800.164000000001</v>
      </c>
      <c r="CC175" s="1">
        <f t="shared" si="213"/>
        <v>12691.4638207288</v>
      </c>
      <c r="CD175" s="1">
        <f t="shared" si="176"/>
        <v>27852.387528</v>
      </c>
      <c r="CE175" s="1">
        <f t="shared" si="177"/>
        <v>22281.910022400003</v>
      </c>
      <c r="CF175" s="1">
        <f t="shared" si="178"/>
        <v>37043.67541224</v>
      </c>
      <c r="CG175" t="s">
        <v>202</v>
      </c>
      <c r="CH175" s="21" t="s">
        <v>171</v>
      </c>
      <c r="CI175">
        <v>1933388</v>
      </c>
      <c r="CJ175" s="102">
        <v>16.77034</v>
      </c>
      <c r="CK175" s="1">
        <v>113.8835</v>
      </c>
      <c r="CL175" s="1">
        <f t="shared" si="214"/>
        <v>130.65384</v>
      </c>
      <c r="CM175" s="1">
        <v>16.4929532598208</v>
      </c>
      <c r="CN175" s="1">
        <v>109.415442974453</v>
      </c>
      <c r="CO175" s="1">
        <f t="shared" si="215"/>
        <v>125.9083962342738</v>
      </c>
      <c r="CP175" s="1">
        <f t="shared" si="179"/>
        <v>41.49940739881664</v>
      </c>
      <c r="CQ175" s="1">
        <f t="shared" si="180"/>
        <v>21.971015142880777</v>
      </c>
      <c r="CR175" s="1">
        <f t="shared" si="181"/>
        <v>57.363865324335144</v>
      </c>
      <c r="CS175" s="1">
        <f t="shared" si="182"/>
        <v>6.695082672531245</v>
      </c>
      <c r="CT175" s="1">
        <f t="shared" si="183"/>
        <v>0.8102869491497576</v>
      </c>
      <c r="CU175" s="1">
        <f t="shared" si="184"/>
        <v>13.229288754071154</v>
      </c>
    </row>
    <row r="176" spans="1:99" ht="13.5" customHeight="1">
      <c r="A176" s="143" t="s">
        <v>320</v>
      </c>
      <c r="B176" s="134">
        <v>86177291</v>
      </c>
      <c r="C176" t="s">
        <v>329</v>
      </c>
      <c r="D176"/>
      <c r="E176" s="139"/>
      <c r="F176"/>
      <c r="G176"/>
      <c r="H176"/>
      <c r="V176" s="1">
        <f t="shared" si="185"/>
        <v>542.4342</v>
      </c>
      <c r="W176" s="1">
        <f t="shared" si="186"/>
        <v>433.94736</v>
      </c>
      <c r="X176" s="1">
        <f t="shared" si="187"/>
        <v>721.437486</v>
      </c>
      <c r="Y176" s="1">
        <f t="shared" si="188"/>
        <v>69.4315776</v>
      </c>
      <c r="Z176" s="1">
        <f t="shared" si="189"/>
        <v>55.545262079999986</v>
      </c>
      <c r="AA176" s="1">
        <f t="shared" si="190"/>
        <v>92.34399820799996</v>
      </c>
      <c r="AB176" s="1">
        <f t="shared" si="219"/>
        <v>4040.0102464127995</v>
      </c>
      <c r="AC176" s="1">
        <f t="shared" si="220"/>
        <v>3232.0081971302398</v>
      </c>
      <c r="AD176" s="1">
        <f t="shared" si="221"/>
        <v>5373.213627729024</v>
      </c>
      <c r="AE176" s="1">
        <f t="shared" si="222"/>
        <v>2367.1003988016</v>
      </c>
      <c r="AF176" s="1">
        <f t="shared" si="223"/>
        <v>1893.68031904128</v>
      </c>
      <c r="AG176" s="1">
        <f t="shared" si="224"/>
        <v>3148.2435304061282</v>
      </c>
      <c r="AP176" t="s">
        <v>190</v>
      </c>
      <c r="AQ176" s="21" t="s">
        <v>171</v>
      </c>
      <c r="AR176">
        <v>516604</v>
      </c>
      <c r="AS176" s="1">
        <f t="shared" si="225"/>
        <v>7749.0599999999995</v>
      </c>
      <c r="AT176" s="1">
        <f t="shared" si="227"/>
        <v>6199.248</v>
      </c>
      <c r="AU176" s="1">
        <f t="shared" si="228"/>
        <v>10306.2498</v>
      </c>
      <c r="AV176" s="1">
        <f t="shared" si="216"/>
        <v>2068.99902</v>
      </c>
      <c r="AW176" s="1">
        <f t="shared" si="217"/>
        <v>1549.812</v>
      </c>
      <c r="AX176" s="1">
        <f t="shared" si="218"/>
        <v>3618.81102</v>
      </c>
      <c r="AY176" s="1">
        <f t="shared" si="193"/>
        <v>378.62682066</v>
      </c>
      <c r="AZ176" s="1">
        <f t="shared" si="194"/>
        <v>221.3300942850096</v>
      </c>
      <c r="BA176" s="1">
        <f t="shared" si="195"/>
        <v>522.656463239064</v>
      </c>
      <c r="BB176" s="1">
        <f t="shared" si="196"/>
        <v>120.00194316000002</v>
      </c>
      <c r="BC176" s="1">
        <f t="shared" si="197"/>
        <v>0</v>
      </c>
      <c r="BD176" s="1">
        <f t="shared" si="198"/>
        <v>287.41665406251605</v>
      </c>
      <c r="BE176" s="1">
        <f t="shared" si="229"/>
        <v>1220.7094218</v>
      </c>
      <c r="BF176" s="1">
        <f t="shared" si="230"/>
        <v>909.428519241</v>
      </c>
      <c r="BG176" s="1">
        <f t="shared" si="231"/>
        <v>1597.9086331361998</v>
      </c>
      <c r="BH176" s="1">
        <f t="shared" si="232"/>
        <v>248.27988240000002</v>
      </c>
      <c r="BI176" s="1">
        <f t="shared" si="233"/>
        <v>157.9060052064</v>
      </c>
      <c r="BJ176" s="1">
        <f t="shared" si="234"/>
        <v>361.24722889200007</v>
      </c>
      <c r="BL176" s="2">
        <v>0.97</v>
      </c>
      <c r="BM176" s="2">
        <v>0</v>
      </c>
      <c r="BO176" s="1">
        <f t="shared" si="199"/>
        <v>378.62682066</v>
      </c>
      <c r="BP176" s="1">
        <f t="shared" si="200"/>
        <v>221.3300942850096</v>
      </c>
      <c r="BQ176" s="1">
        <f t="shared" si="201"/>
        <v>522.656463239064</v>
      </c>
      <c r="BR176" s="1">
        <f t="shared" si="202"/>
        <v>26.88043526784</v>
      </c>
      <c r="BS176" s="1">
        <f t="shared" si="203"/>
        <v>0</v>
      </c>
      <c r="BT176" s="1">
        <f t="shared" si="204"/>
        <v>64.38133051000358</v>
      </c>
      <c r="BU176" s="1">
        <f t="shared" si="205"/>
        <v>1220.7094218</v>
      </c>
      <c r="BV176" s="1">
        <f t="shared" si="206"/>
        <v>909.428519241</v>
      </c>
      <c r="BW176" s="1">
        <f t="shared" si="207"/>
        <v>1597.9086331361998</v>
      </c>
      <c r="BX176" s="1">
        <f t="shared" si="208"/>
        <v>248.27988240000002</v>
      </c>
      <c r="BY176" s="1">
        <f t="shared" si="209"/>
        <v>157.9060052064</v>
      </c>
      <c r="BZ176" s="1">
        <f t="shared" si="210"/>
        <v>361.24722889200007</v>
      </c>
      <c r="CA176" s="1">
        <f t="shared" si="211"/>
        <v>1975.8775121078402</v>
      </c>
      <c r="CB176" s="1">
        <f t="shared" si="212"/>
        <v>1549.812</v>
      </c>
      <c r="CC176" s="1">
        <f t="shared" si="213"/>
        <v>3395.7756964474875</v>
      </c>
      <c r="CD176" s="1">
        <f t="shared" si="176"/>
        <v>7448.396471999999</v>
      </c>
      <c r="CE176" s="1">
        <f t="shared" si="177"/>
        <v>5958.7171776</v>
      </c>
      <c r="CF176" s="1">
        <f t="shared" si="178"/>
        <v>9906.36730776</v>
      </c>
      <c r="CG176" t="s">
        <v>190</v>
      </c>
      <c r="CH176" s="21" t="s">
        <v>171</v>
      </c>
      <c r="CI176">
        <v>516604</v>
      </c>
      <c r="CJ176" s="102">
        <v>1.518051</v>
      </c>
      <c r="CK176" s="1">
        <v>2.295789</v>
      </c>
      <c r="CL176" s="1">
        <f t="shared" si="214"/>
        <v>3.81384</v>
      </c>
      <c r="CM176" s="1">
        <v>1.36155089690722</v>
      </c>
      <c r="CN176" s="1">
        <v>2.07445814558685</v>
      </c>
      <c r="CO176" s="1">
        <f t="shared" si="215"/>
        <v>3.43600904249407</v>
      </c>
      <c r="CP176" s="1">
        <f t="shared" si="179"/>
        <v>1.1325085804060455</v>
      </c>
      <c r="CQ176" s="1">
        <f t="shared" si="180"/>
        <v>0.5995835779152151</v>
      </c>
      <c r="CR176" s="1">
        <f t="shared" si="181"/>
        <v>1.5654457197602982</v>
      </c>
      <c r="CS176" s="1">
        <f t="shared" si="182"/>
        <v>0.1959600090072668</v>
      </c>
      <c r="CT176" s="1">
        <f t="shared" si="183"/>
        <v>0.023801711848168067</v>
      </c>
      <c r="CU176" s="1">
        <f t="shared" si="184"/>
        <v>0.38567791248780126</v>
      </c>
    </row>
    <row r="177" spans="1:99" ht="13.5" customHeight="1">
      <c r="A177" s="143" t="s">
        <v>311</v>
      </c>
      <c r="B177" s="134">
        <v>633461337</v>
      </c>
      <c r="C177" t="s">
        <v>329</v>
      </c>
      <c r="D177"/>
      <c r="E177" s="139"/>
      <c r="F177"/>
      <c r="G177"/>
      <c r="H177"/>
      <c r="V177" s="1">
        <f t="shared" si="185"/>
        <v>1.4710500000000002</v>
      </c>
      <c r="W177" s="1">
        <f t="shared" si="186"/>
        <v>1.17684</v>
      </c>
      <c r="X177" s="1">
        <f t="shared" si="187"/>
        <v>1.9564965000000003</v>
      </c>
      <c r="Y177" s="1">
        <f t="shared" si="188"/>
        <v>0.31606559999999995</v>
      </c>
      <c r="Z177" s="1">
        <f t="shared" si="189"/>
        <v>0.25285248</v>
      </c>
      <c r="AA177" s="1">
        <f t="shared" si="190"/>
        <v>0.4203672479999999</v>
      </c>
      <c r="AB177" s="1">
        <f t="shared" si="219"/>
        <v>11.042901676800001</v>
      </c>
      <c r="AC177" s="1">
        <f t="shared" si="220"/>
        <v>8.83432134144</v>
      </c>
      <c r="AD177" s="1">
        <f t="shared" si="221"/>
        <v>14.687059230144</v>
      </c>
      <c r="AE177" s="1">
        <f t="shared" si="222"/>
        <v>6.470195709600001</v>
      </c>
      <c r="AF177" s="1">
        <f t="shared" si="223"/>
        <v>5.1761565676800005</v>
      </c>
      <c r="AG177" s="1">
        <f t="shared" si="224"/>
        <v>8.605360293768001</v>
      </c>
      <c r="AP177" t="s">
        <v>191</v>
      </c>
      <c r="AQ177" s="21" t="s">
        <v>171</v>
      </c>
      <c r="AR177">
        <v>1401</v>
      </c>
      <c r="AS177" s="1">
        <f t="shared" si="225"/>
        <v>21.015</v>
      </c>
      <c r="AT177" s="1">
        <f t="shared" si="227"/>
        <v>16.812</v>
      </c>
      <c r="AU177" s="1">
        <f t="shared" si="228"/>
        <v>27.94995</v>
      </c>
      <c r="AV177" s="1">
        <f t="shared" si="216"/>
        <v>5.6110050000000005</v>
      </c>
      <c r="AW177" s="1">
        <f t="shared" si="217"/>
        <v>4.203</v>
      </c>
      <c r="AX177" s="1">
        <f t="shared" si="218"/>
        <v>9.814005000000002</v>
      </c>
      <c r="AY177" s="1">
        <f t="shared" si="193"/>
        <v>1.026813915</v>
      </c>
      <c r="AZ177" s="1">
        <f t="shared" si="194"/>
        <v>0.6002343421523999</v>
      </c>
      <c r="BA177" s="1">
        <f t="shared" si="195"/>
        <v>1.417413928266</v>
      </c>
      <c r="BB177" s="1">
        <f t="shared" si="196"/>
        <v>0.32543829</v>
      </c>
      <c r="BC177" s="1">
        <f t="shared" si="197"/>
        <v>0</v>
      </c>
      <c r="BD177" s="1">
        <f t="shared" si="198"/>
        <v>0.779457248379</v>
      </c>
      <c r="BE177" s="1">
        <f t="shared" si="229"/>
        <v>3.31049295</v>
      </c>
      <c r="BF177" s="1">
        <f t="shared" si="230"/>
        <v>2.46631724775</v>
      </c>
      <c r="BG177" s="1">
        <f t="shared" si="231"/>
        <v>4.33343527155</v>
      </c>
      <c r="BH177" s="1">
        <f t="shared" si="232"/>
        <v>0.6733206</v>
      </c>
      <c r="BI177" s="1">
        <f t="shared" si="233"/>
        <v>0.4282319016</v>
      </c>
      <c r="BJ177" s="1">
        <f t="shared" si="234"/>
        <v>0.9796814730000001</v>
      </c>
      <c r="BL177" s="2">
        <v>0.78</v>
      </c>
      <c r="BM177" s="2">
        <v>0</v>
      </c>
      <c r="BO177" s="1">
        <f t="shared" si="199"/>
        <v>1.026813915</v>
      </c>
      <c r="BP177" s="1">
        <f t="shared" si="200"/>
        <v>0.6002343421523999</v>
      </c>
      <c r="BQ177" s="1">
        <f t="shared" si="201"/>
        <v>1.417413928266</v>
      </c>
      <c r="BR177" s="1">
        <f t="shared" si="202"/>
        <v>0.12236479703999997</v>
      </c>
      <c r="BS177" s="1">
        <f t="shared" si="203"/>
        <v>0</v>
      </c>
      <c r="BT177" s="1">
        <f t="shared" si="204"/>
        <v>0.2930759253905039</v>
      </c>
      <c r="BU177" s="1">
        <f t="shared" si="205"/>
        <v>3.31049295</v>
      </c>
      <c r="BV177" s="1">
        <f t="shared" si="206"/>
        <v>2.46631724775</v>
      </c>
      <c r="BW177" s="1">
        <f t="shared" si="207"/>
        <v>4.33343527155</v>
      </c>
      <c r="BX177" s="1">
        <f t="shared" si="208"/>
        <v>0.6733206</v>
      </c>
      <c r="BY177" s="1">
        <f t="shared" si="209"/>
        <v>0.4282319016</v>
      </c>
      <c r="BZ177" s="1">
        <f t="shared" si="210"/>
        <v>0.9796814730000001</v>
      </c>
      <c r="CA177" s="1">
        <f t="shared" si="211"/>
        <v>5.407931507040001</v>
      </c>
      <c r="CB177" s="1">
        <f t="shared" si="212"/>
        <v>4.203</v>
      </c>
      <c r="CC177" s="1">
        <f t="shared" si="213"/>
        <v>9.327623677011506</v>
      </c>
      <c r="CD177" s="1">
        <f t="shared" si="176"/>
        <v>20.359332000000002</v>
      </c>
      <c r="CE177" s="1">
        <f t="shared" si="177"/>
        <v>16.2874656</v>
      </c>
      <c r="CF177" s="1">
        <f t="shared" si="178"/>
        <v>27.07791156</v>
      </c>
      <c r="CG177" t="s">
        <v>191</v>
      </c>
      <c r="CH177" s="21" t="s">
        <v>171</v>
      </c>
      <c r="CI177">
        <v>1401</v>
      </c>
      <c r="CJ177" s="102">
        <v>0</v>
      </c>
      <c r="CK177" s="1">
        <v>0</v>
      </c>
      <c r="CL177" s="1">
        <f t="shared" si="214"/>
        <v>0</v>
      </c>
      <c r="CM177" s="1">
        <v>0</v>
      </c>
      <c r="CN177" s="1">
        <v>0</v>
      </c>
      <c r="CO177" s="1">
        <f t="shared" si="215"/>
        <v>0</v>
      </c>
      <c r="CP177" s="1">
        <f t="shared" si="179"/>
        <v>0</v>
      </c>
      <c r="CQ177" s="1">
        <f t="shared" si="180"/>
        <v>0</v>
      </c>
      <c r="CR177" s="1">
        <f t="shared" si="181"/>
        <v>0</v>
      </c>
      <c r="CS177" s="1">
        <f t="shared" si="182"/>
        <v>0</v>
      </c>
      <c r="CT177" s="1">
        <f t="shared" si="183"/>
        <v>0</v>
      </c>
      <c r="CU177" s="1">
        <f t="shared" si="184"/>
        <v>0</v>
      </c>
    </row>
    <row r="178" spans="1:99" ht="13.5" customHeight="1">
      <c r="A178" s="143"/>
      <c r="B178" s="134"/>
      <c r="D178"/>
      <c r="E178" s="139"/>
      <c r="F178"/>
      <c r="G178"/>
      <c r="H178"/>
      <c r="V178" s="1">
        <f t="shared" si="185"/>
        <v>634.3512000000001</v>
      </c>
      <c r="W178" s="1">
        <f t="shared" si="186"/>
        <v>507.48096000000004</v>
      </c>
      <c r="X178" s="1">
        <f t="shared" si="187"/>
        <v>843.6870960000001</v>
      </c>
      <c r="Y178" s="1">
        <f t="shared" si="188"/>
        <v>110.19586560000002</v>
      </c>
      <c r="Z178" s="1">
        <f t="shared" si="189"/>
        <v>88.15669248</v>
      </c>
      <c r="AA178" s="1">
        <f t="shared" si="190"/>
        <v>146.56050124799998</v>
      </c>
      <c r="AB178" s="1">
        <f t="shared" si="219"/>
        <v>4744.2626016768</v>
      </c>
      <c r="AC178" s="1">
        <f t="shared" si="220"/>
        <v>3795.4100813414398</v>
      </c>
      <c r="AD178" s="1">
        <f t="shared" si="221"/>
        <v>6309.8692602301435</v>
      </c>
      <c r="AE178" s="1">
        <f t="shared" si="222"/>
        <v>2779.7320332096</v>
      </c>
      <c r="AF178" s="1">
        <f t="shared" si="223"/>
        <v>2223.78562656768</v>
      </c>
      <c r="AG178" s="1">
        <f t="shared" si="224"/>
        <v>3697.043604168768</v>
      </c>
      <c r="AP178" t="s">
        <v>281</v>
      </c>
      <c r="AQ178" s="21" t="s">
        <v>171</v>
      </c>
      <c r="AR178">
        <v>604144</v>
      </c>
      <c r="AS178" s="1">
        <f t="shared" si="225"/>
        <v>9062.16</v>
      </c>
      <c r="AT178" s="1">
        <f t="shared" si="227"/>
        <v>7249.728</v>
      </c>
      <c r="AU178" s="1">
        <f t="shared" si="228"/>
        <v>12052.6728</v>
      </c>
      <c r="AV178" s="1">
        <f t="shared" si="216"/>
        <v>2419.59672</v>
      </c>
      <c r="AW178" s="1">
        <f t="shared" si="217"/>
        <v>1812.432</v>
      </c>
      <c r="AX178" s="1">
        <f t="shared" si="218"/>
        <v>4232.02872</v>
      </c>
      <c r="AY178" s="1">
        <f t="shared" si="193"/>
        <v>442.78619976</v>
      </c>
      <c r="AZ178" s="1">
        <f t="shared" si="194"/>
        <v>258.8351009317056</v>
      </c>
      <c r="BA178" s="1">
        <f t="shared" si="195"/>
        <v>611.222070148704</v>
      </c>
      <c r="BB178" s="1">
        <f t="shared" si="196"/>
        <v>140.33660976000002</v>
      </c>
      <c r="BC178" s="1">
        <f t="shared" si="197"/>
        <v>0</v>
      </c>
      <c r="BD178" s="1">
        <f t="shared" si="198"/>
        <v>336.120214036176</v>
      </c>
      <c r="BE178" s="1">
        <f t="shared" si="229"/>
        <v>1427.5620648</v>
      </c>
      <c r="BF178" s="1">
        <f t="shared" si="230"/>
        <v>1063.533738276</v>
      </c>
      <c r="BG178" s="1">
        <f t="shared" si="231"/>
        <v>1868.6787428231999</v>
      </c>
      <c r="BH178" s="1">
        <f t="shared" si="232"/>
        <v>290.3516064</v>
      </c>
      <c r="BI178" s="1">
        <f t="shared" si="233"/>
        <v>184.66362167039998</v>
      </c>
      <c r="BJ178" s="1">
        <f t="shared" si="234"/>
        <v>422.461587312</v>
      </c>
      <c r="BL178" s="2">
        <v>0.87</v>
      </c>
      <c r="BM178" s="2">
        <v>0</v>
      </c>
      <c r="BO178" s="1">
        <f t="shared" si="199"/>
        <v>442.78619976</v>
      </c>
      <c r="BP178" s="1">
        <f t="shared" si="200"/>
        <v>258.8351009317056</v>
      </c>
      <c r="BQ178" s="1">
        <f t="shared" si="201"/>
        <v>611.222070148704</v>
      </c>
      <c r="BR178" s="1">
        <f t="shared" si="202"/>
        <v>42.66232936704</v>
      </c>
      <c r="BS178" s="1">
        <f t="shared" si="203"/>
        <v>0</v>
      </c>
      <c r="BT178" s="1">
        <f t="shared" si="204"/>
        <v>102.18054506699747</v>
      </c>
      <c r="BU178" s="1">
        <f t="shared" si="205"/>
        <v>1427.5620648</v>
      </c>
      <c r="BV178" s="1">
        <f t="shared" si="206"/>
        <v>1063.533738276</v>
      </c>
      <c r="BW178" s="1">
        <f t="shared" si="207"/>
        <v>1868.6787428231999</v>
      </c>
      <c r="BX178" s="1">
        <f t="shared" si="208"/>
        <v>290.3516064</v>
      </c>
      <c r="BY178" s="1">
        <f t="shared" si="209"/>
        <v>184.66362167039998</v>
      </c>
      <c r="BZ178" s="1">
        <f t="shared" si="210"/>
        <v>422.461587312</v>
      </c>
      <c r="CA178" s="1">
        <f t="shared" si="211"/>
        <v>2321.92243960704</v>
      </c>
      <c r="CB178" s="1">
        <f t="shared" si="212"/>
        <v>1812.432</v>
      </c>
      <c r="CC178" s="1">
        <f t="shared" si="213"/>
        <v>3998.089051030822</v>
      </c>
      <c r="CD178" s="1">
        <f aca="true" t="shared" si="236" ref="CD178:CD209">AS178-(AS178*BM178*0.07)-(AS178*BL178*0.04)</f>
        <v>8746.796832</v>
      </c>
      <c r="CE178" s="1">
        <f aca="true" t="shared" si="237" ref="CE178:CE209">AT178-(AT178*BM178*0.07)-(AT178*BL178*0.04)</f>
        <v>6997.4374656</v>
      </c>
      <c r="CF178" s="1">
        <f aca="true" t="shared" si="238" ref="CF178:CF209">AU178-(AU178*BM178*0.07)-(AU178*BL178*0.04)</f>
        <v>11633.23978656</v>
      </c>
      <c r="CG178" t="s">
        <v>281</v>
      </c>
      <c r="CH178" s="21" t="s">
        <v>171</v>
      </c>
      <c r="CI178">
        <v>604144</v>
      </c>
      <c r="CJ178" s="102">
        <v>4.858863</v>
      </c>
      <c r="CK178" s="1">
        <v>25.3</v>
      </c>
      <c r="CL178" s="1">
        <f t="shared" si="214"/>
        <v>30.158863</v>
      </c>
      <c r="CM178" s="1">
        <v>4.79900021149897</v>
      </c>
      <c r="CN178" s="1">
        <v>24.83663003663</v>
      </c>
      <c r="CO178" s="1">
        <f t="shared" si="215"/>
        <v>29.635630248128972</v>
      </c>
      <c r="CP178" s="1">
        <f aca="true" t="shared" si="239" ref="CP178:CP209">((0.3296-(0.3296*BM178*0.58))/(1-(0.3296*BM178*0.58)))*CO178</f>
        <v>9.76790372978331</v>
      </c>
      <c r="CQ178" s="1">
        <f aca="true" t="shared" si="240" ref="CQ178:CQ210">((0.1745-(0.1745*BM178*0.58))/(1-(0.1745*BM178*0.58)))*CO178</f>
        <v>5.171417478298506</v>
      </c>
      <c r="CR178" s="1">
        <f aca="true" t="shared" si="241" ref="CR178:CR210">((0.4556-(0.4556*BM178*0.58))/(1-(0.4556*BM178*0.58)))*CO178</f>
        <v>13.50199314104756</v>
      </c>
      <c r="CS178" s="1">
        <f aca="true" t="shared" si="242" ref="CS178:CS210">((0.2126-(0.2126*BL178*0.8))/(1-(0.2126*BL178*0.8)))*CO178</f>
        <v>2.2479980024054016</v>
      </c>
      <c r="CT178" s="1">
        <f aca="true" t="shared" si="243" ref="CT178:CT210">((0.0302-(0.0302*BL178*0.8))/(1-(0.0302*BL178*0.8)))*CO178</f>
        <v>0.27792045991302633</v>
      </c>
      <c r="CU178" s="1">
        <f aca="true" t="shared" si="244" ref="CU178:CU210">((0.3608-(0.3608*BL178*0.8))/(1-(0.3608*BL178*0.8)))*CO178</f>
        <v>4.340504313131313</v>
      </c>
    </row>
    <row r="179" spans="1:99" ht="13.5" customHeight="1">
      <c r="A179" s="143" t="s">
        <v>312</v>
      </c>
      <c r="B179" s="134" t="s">
        <v>317</v>
      </c>
      <c r="C179" s="2" t="s">
        <v>325</v>
      </c>
      <c r="E179" s="140"/>
      <c r="V179" s="1">
        <f t="shared" si="185"/>
        <v>123.34989555000004</v>
      </c>
      <c r="W179" s="1">
        <f t="shared" si="186"/>
        <v>98.67991644000003</v>
      </c>
      <c r="X179" s="1">
        <f t="shared" si="187"/>
        <v>164.05536108150005</v>
      </c>
      <c r="Y179" s="1">
        <f t="shared" si="188"/>
        <v>34.43169599999999</v>
      </c>
      <c r="Z179" s="1">
        <f t="shared" si="189"/>
        <v>27.545356800000008</v>
      </c>
      <c r="AA179" s="1">
        <f t="shared" si="190"/>
        <v>45.79415568000002</v>
      </c>
      <c r="AB179" s="1">
        <f t="shared" si="219"/>
        <v>2000.2358806920001</v>
      </c>
      <c r="AC179" s="1">
        <f t="shared" si="220"/>
        <v>1600.1887045536</v>
      </c>
      <c r="AD179" s="1">
        <f t="shared" si="221"/>
        <v>2660.3137213203604</v>
      </c>
      <c r="AE179" s="1">
        <f t="shared" si="222"/>
        <v>1171.9671144615002</v>
      </c>
      <c r="AF179" s="1">
        <f t="shared" si="223"/>
        <v>937.5736915692</v>
      </c>
      <c r="AG179" s="1">
        <f t="shared" si="224"/>
        <v>1558.7162622337953</v>
      </c>
      <c r="AP179" t="s">
        <v>204</v>
      </c>
      <c r="AQ179" s="21" t="s">
        <v>171</v>
      </c>
      <c r="AR179">
        <v>275895</v>
      </c>
      <c r="AS179" s="1">
        <f t="shared" si="225"/>
        <v>4138.425</v>
      </c>
      <c r="AT179" s="1">
        <f t="shared" si="227"/>
        <v>3310.7400000000002</v>
      </c>
      <c r="AU179" s="1">
        <f t="shared" si="228"/>
        <v>5504.1052500000005</v>
      </c>
      <c r="AV179" s="1">
        <f t="shared" si="216"/>
        <v>1104.959475</v>
      </c>
      <c r="AW179" s="1">
        <f t="shared" si="217"/>
        <v>827.6850000000001</v>
      </c>
      <c r="AX179" s="1">
        <f t="shared" si="218"/>
        <v>1932.6444750000003</v>
      </c>
      <c r="AY179" s="1">
        <f t="shared" si="193"/>
        <v>202.20758392500002</v>
      </c>
      <c r="AZ179" s="1">
        <f t="shared" si="194"/>
        <v>118.20246525919801</v>
      </c>
      <c r="BA179" s="1">
        <f t="shared" si="195"/>
        <v>279.12734885007006</v>
      </c>
      <c r="BB179" s="1">
        <f t="shared" si="196"/>
        <v>64.08764955000001</v>
      </c>
      <c r="BC179" s="1">
        <f t="shared" si="197"/>
        <v>0</v>
      </c>
      <c r="BD179" s="1">
        <f t="shared" si="198"/>
        <v>153.49632943720502</v>
      </c>
      <c r="BE179" s="1">
        <f t="shared" si="229"/>
        <v>651.92609025</v>
      </c>
      <c r="BF179" s="1">
        <f t="shared" si="230"/>
        <v>485.68493723625</v>
      </c>
      <c r="BG179" s="1">
        <f t="shared" si="231"/>
        <v>853.3712521372499</v>
      </c>
      <c r="BH179" s="1">
        <f t="shared" si="232"/>
        <v>132.59513700000002</v>
      </c>
      <c r="BI179" s="1">
        <f t="shared" si="233"/>
        <v>84.33050713200002</v>
      </c>
      <c r="BJ179" s="1">
        <f t="shared" si="234"/>
        <v>192.92592433500005</v>
      </c>
      <c r="BL179" s="2">
        <v>0.99</v>
      </c>
      <c r="BM179" s="2">
        <v>0.99</v>
      </c>
      <c r="BO179" s="1">
        <f t="shared" si="199"/>
        <v>86.09998923526501</v>
      </c>
      <c r="BP179" s="1">
        <f t="shared" si="200"/>
        <v>50.33060970736652</v>
      </c>
      <c r="BQ179" s="1">
        <f t="shared" si="201"/>
        <v>118.85242514035983</v>
      </c>
      <c r="BR179" s="1">
        <f t="shared" si="202"/>
        <v>13.3302311064</v>
      </c>
      <c r="BS179" s="1">
        <f t="shared" si="203"/>
        <v>0</v>
      </c>
      <c r="BT179" s="1">
        <f t="shared" si="204"/>
        <v>31.927236522938642</v>
      </c>
      <c r="BU179" s="1">
        <f t="shared" si="205"/>
        <v>651.92609025</v>
      </c>
      <c r="BV179" s="1">
        <f t="shared" si="206"/>
        <v>485.68493723625</v>
      </c>
      <c r="BW179" s="1">
        <f t="shared" si="207"/>
        <v>853.3712521372499</v>
      </c>
      <c r="BX179" s="1">
        <f t="shared" si="208"/>
        <v>132.59513700000002</v>
      </c>
      <c r="BY179" s="1">
        <f t="shared" si="209"/>
        <v>84.33050713200002</v>
      </c>
      <c r="BZ179" s="1">
        <f t="shared" si="210"/>
        <v>192.92592433500005</v>
      </c>
      <c r="CA179" s="1">
        <f t="shared" si="211"/>
        <v>938.094461866665</v>
      </c>
      <c r="CB179" s="1">
        <f t="shared" si="212"/>
        <v>759.8131444481686</v>
      </c>
      <c r="CC179" s="1">
        <f t="shared" si="213"/>
        <v>1650.8004583760237</v>
      </c>
      <c r="CD179" s="1">
        <f t="shared" si="236"/>
        <v>3687.7505175</v>
      </c>
      <c r="CE179" s="1">
        <f t="shared" si="237"/>
        <v>2950.200414</v>
      </c>
      <c r="CF179" s="1">
        <f t="shared" si="238"/>
        <v>4904.708188275001</v>
      </c>
      <c r="CG179" t="s">
        <v>204</v>
      </c>
      <c r="CH179" s="21" t="s">
        <v>171</v>
      </c>
      <c r="CI179">
        <v>275895</v>
      </c>
      <c r="CJ179" s="102">
        <v>1.44385</v>
      </c>
      <c r="CK179" s="1">
        <v>38.10706</v>
      </c>
      <c r="CL179" s="1">
        <f t="shared" si="214"/>
        <v>39.550909999999995</v>
      </c>
      <c r="CM179" s="1">
        <v>1.44986604166667</v>
      </c>
      <c r="CN179" s="1">
        <v>33.8729422222222</v>
      </c>
      <c r="CO179" s="1">
        <f t="shared" si="215"/>
        <v>35.32280826388887</v>
      </c>
      <c r="CP179" s="1">
        <f t="shared" si="239"/>
        <v>6.114550161758369</v>
      </c>
      <c r="CQ179" s="1">
        <f t="shared" si="240"/>
        <v>2.916817855731051</v>
      </c>
      <c r="CR179" s="1">
        <f t="shared" si="241"/>
        <v>9.280174766870987</v>
      </c>
      <c r="CS179" s="1">
        <f t="shared" si="242"/>
        <v>1.8782633138514284</v>
      </c>
      <c r="CT179" s="1">
        <f t="shared" si="243"/>
        <v>0.22732090471784763</v>
      </c>
      <c r="CU179" s="1">
        <f t="shared" si="244"/>
        <v>3.711393712443087</v>
      </c>
    </row>
    <row r="180" spans="1:99" ht="13.5" customHeight="1">
      <c r="A180" s="143" t="s">
        <v>313</v>
      </c>
      <c r="B180" s="134" t="s">
        <v>314</v>
      </c>
      <c r="C180" t="s">
        <v>326</v>
      </c>
      <c r="E180" s="140"/>
      <c r="V180" s="1">
        <f t="shared" si="185"/>
        <v>104.33640000000001</v>
      </c>
      <c r="W180" s="1">
        <f t="shared" si="186"/>
        <v>83.46912</v>
      </c>
      <c r="X180" s="1">
        <f t="shared" si="187"/>
        <v>138.76741200000004</v>
      </c>
      <c r="Y180" s="1">
        <f t="shared" si="188"/>
        <v>13.832025600000001</v>
      </c>
      <c r="Z180" s="1">
        <f t="shared" si="189"/>
        <v>11.06562048</v>
      </c>
      <c r="AA180" s="1">
        <f t="shared" si="190"/>
        <v>18.396594047999997</v>
      </c>
      <c r="AB180" s="1">
        <f t="shared" si="219"/>
        <v>777.4132589568</v>
      </c>
      <c r="AC180" s="1">
        <f t="shared" si="220"/>
        <v>621.9306071654399</v>
      </c>
      <c r="AD180" s="1">
        <f t="shared" si="221"/>
        <v>1033.9596344125441</v>
      </c>
      <c r="AE180" s="1">
        <f t="shared" si="222"/>
        <v>455.49766536960004</v>
      </c>
      <c r="AF180" s="1">
        <f t="shared" si="223"/>
        <v>364.39813229568</v>
      </c>
      <c r="AG180" s="1">
        <f t="shared" si="224"/>
        <v>605.8118949415681</v>
      </c>
      <c r="AP180" t="s">
        <v>192</v>
      </c>
      <c r="AQ180" s="21" t="s">
        <v>171</v>
      </c>
      <c r="AR180">
        <v>99368</v>
      </c>
      <c r="AS180" s="1">
        <f t="shared" si="225"/>
        <v>1490.52</v>
      </c>
      <c r="AT180" s="1">
        <f t="shared" si="227"/>
        <v>1192.416</v>
      </c>
      <c r="AU180" s="1">
        <f t="shared" si="228"/>
        <v>1982.3916000000002</v>
      </c>
      <c r="AV180" s="1">
        <f t="shared" si="216"/>
        <v>397.96884</v>
      </c>
      <c r="AW180" s="1">
        <f t="shared" si="217"/>
        <v>298.104</v>
      </c>
      <c r="AX180" s="1">
        <f t="shared" si="218"/>
        <v>696.07284</v>
      </c>
      <c r="AY180" s="1">
        <f t="shared" si="193"/>
        <v>72.82829772</v>
      </c>
      <c r="AZ180" s="1">
        <f t="shared" si="194"/>
        <v>42.572509715203196</v>
      </c>
      <c r="BA180" s="1">
        <f t="shared" si="195"/>
        <v>100.532182172688</v>
      </c>
      <c r="BB180" s="1">
        <f t="shared" si="196"/>
        <v>23.082192720000002</v>
      </c>
      <c r="BC180" s="1">
        <f t="shared" si="197"/>
        <v>0</v>
      </c>
      <c r="BD180" s="1">
        <f t="shared" si="198"/>
        <v>55.284159783672</v>
      </c>
      <c r="BE180" s="1">
        <f t="shared" si="229"/>
        <v>234.8016156</v>
      </c>
      <c r="BF180" s="1">
        <f t="shared" si="230"/>
        <v>174.92720362199998</v>
      </c>
      <c r="BG180" s="1">
        <f t="shared" si="231"/>
        <v>307.3553148204</v>
      </c>
      <c r="BH180" s="1">
        <f t="shared" si="232"/>
        <v>47.7562608</v>
      </c>
      <c r="BI180" s="1">
        <f t="shared" si="233"/>
        <v>30.3729818688</v>
      </c>
      <c r="BJ180" s="1">
        <f t="shared" si="234"/>
        <v>69.485359464</v>
      </c>
      <c r="BL180" s="2">
        <v>0.96</v>
      </c>
      <c r="BM180" s="2">
        <v>0</v>
      </c>
      <c r="BO180" s="1">
        <f t="shared" si="199"/>
        <v>72.82829772</v>
      </c>
      <c r="BP180" s="1">
        <f t="shared" si="200"/>
        <v>42.572509715203196</v>
      </c>
      <c r="BQ180" s="1">
        <f t="shared" si="201"/>
        <v>100.532182172688</v>
      </c>
      <c r="BR180" s="1">
        <f t="shared" si="202"/>
        <v>5.355068711040001</v>
      </c>
      <c r="BS180" s="1">
        <f t="shared" si="203"/>
        <v>0</v>
      </c>
      <c r="BT180" s="1">
        <f t="shared" si="204"/>
        <v>12.825925069811909</v>
      </c>
      <c r="BU180" s="1">
        <f t="shared" si="205"/>
        <v>234.8016156</v>
      </c>
      <c r="BV180" s="1">
        <f t="shared" si="206"/>
        <v>174.92720362199998</v>
      </c>
      <c r="BW180" s="1">
        <f t="shared" si="207"/>
        <v>307.3553148204</v>
      </c>
      <c r="BX180" s="1">
        <f t="shared" si="208"/>
        <v>47.7562608</v>
      </c>
      <c r="BY180" s="1">
        <f t="shared" si="209"/>
        <v>30.3729818688</v>
      </c>
      <c r="BZ180" s="1">
        <f t="shared" si="210"/>
        <v>69.485359464</v>
      </c>
      <c r="CA180" s="1">
        <f t="shared" si="211"/>
        <v>380.24171599104</v>
      </c>
      <c r="CB180" s="1">
        <f t="shared" si="212"/>
        <v>298.104</v>
      </c>
      <c r="CC180" s="1">
        <f t="shared" si="213"/>
        <v>653.61460528614</v>
      </c>
      <c r="CD180" s="1">
        <f t="shared" si="236"/>
        <v>1433.284032</v>
      </c>
      <c r="CE180" s="1">
        <f t="shared" si="237"/>
        <v>1146.6272256</v>
      </c>
      <c r="CF180" s="1">
        <f t="shared" si="238"/>
        <v>1906.2677625600002</v>
      </c>
      <c r="CG180" t="s">
        <v>192</v>
      </c>
      <c r="CH180" s="21" t="s">
        <v>171</v>
      </c>
      <c r="CI180">
        <v>99368</v>
      </c>
      <c r="CJ180" s="102">
        <v>0</v>
      </c>
      <c r="CK180" s="1">
        <v>1.602941</v>
      </c>
      <c r="CL180" s="1">
        <f t="shared" si="214"/>
        <v>1.602941</v>
      </c>
      <c r="CM180" s="1">
        <v>0</v>
      </c>
      <c r="CN180" s="1">
        <v>1.602941</v>
      </c>
      <c r="CO180" s="1">
        <f t="shared" si="215"/>
        <v>1.602941</v>
      </c>
      <c r="CP180" s="1">
        <f t="shared" si="239"/>
        <v>0.5283293536</v>
      </c>
      <c r="CQ180" s="1">
        <f t="shared" si="240"/>
        <v>0.2797132045</v>
      </c>
      <c r="CR180" s="1">
        <f t="shared" si="241"/>
        <v>0.7302999196</v>
      </c>
      <c r="CS180" s="1">
        <f t="shared" si="242"/>
        <v>0.09449024424230142</v>
      </c>
      <c r="CT180" s="1">
        <f t="shared" si="243"/>
        <v>0.01149751457648107</v>
      </c>
      <c r="CU180" s="1">
        <f t="shared" si="244"/>
        <v>0.1856053379163199</v>
      </c>
    </row>
    <row r="181" spans="1:99" ht="13.5" customHeight="1">
      <c r="A181" s="143"/>
      <c r="B181" s="134"/>
      <c r="E181" s="140"/>
      <c r="V181" s="1">
        <f t="shared" si="185"/>
        <v>2647.4437500000004</v>
      </c>
      <c r="W181" s="1">
        <f t="shared" si="186"/>
        <v>2117.9550000000004</v>
      </c>
      <c r="X181" s="1">
        <f t="shared" si="187"/>
        <v>3521.1001875000006</v>
      </c>
      <c r="Y181" s="1">
        <f t="shared" si="188"/>
        <v>338.87279999999987</v>
      </c>
      <c r="Z181" s="1">
        <f t="shared" si="189"/>
        <v>271.09824000000003</v>
      </c>
      <c r="AA181" s="1">
        <f t="shared" si="190"/>
        <v>450.700824</v>
      </c>
      <c r="AB181" s="1">
        <f t="shared" si="219"/>
        <v>19717.9674084</v>
      </c>
      <c r="AC181" s="1">
        <f t="shared" si="220"/>
        <v>15774.37392672</v>
      </c>
      <c r="AD181" s="1">
        <f t="shared" si="221"/>
        <v>26224.896653172</v>
      </c>
      <c r="AE181" s="1">
        <f t="shared" si="222"/>
        <v>11553.042113550002</v>
      </c>
      <c r="AF181" s="1">
        <f t="shared" si="223"/>
        <v>9242.43369084</v>
      </c>
      <c r="AG181" s="1">
        <f t="shared" si="224"/>
        <v>15365.5460110215</v>
      </c>
      <c r="AP181" t="s">
        <v>193</v>
      </c>
      <c r="AQ181" s="21" t="s">
        <v>171</v>
      </c>
      <c r="AR181">
        <v>2521375</v>
      </c>
      <c r="AS181" s="1">
        <f t="shared" si="225"/>
        <v>37820.625</v>
      </c>
      <c r="AT181" s="1">
        <f t="shared" si="227"/>
        <v>30256.5</v>
      </c>
      <c r="AU181" s="1">
        <f t="shared" si="228"/>
        <v>50301.43125</v>
      </c>
      <c r="AV181" s="1">
        <f t="shared" si="216"/>
        <v>10098.106875000001</v>
      </c>
      <c r="AW181" s="1">
        <f t="shared" si="217"/>
        <v>7564.125</v>
      </c>
      <c r="AX181" s="1">
        <f t="shared" si="218"/>
        <v>17662.231875</v>
      </c>
      <c r="AY181" s="1">
        <f t="shared" si="193"/>
        <v>1847.9535581250002</v>
      </c>
      <c r="AZ181" s="1">
        <f t="shared" si="194"/>
        <v>1080.23973193755</v>
      </c>
      <c r="BA181" s="1">
        <f t="shared" si="195"/>
        <v>2550.9150916357503</v>
      </c>
      <c r="BB181" s="1">
        <f t="shared" si="196"/>
        <v>585.6901987500001</v>
      </c>
      <c r="BC181" s="1">
        <f t="shared" si="197"/>
        <v>0</v>
      </c>
      <c r="BD181" s="1">
        <f t="shared" si="198"/>
        <v>1402.7865950261253</v>
      </c>
      <c r="BE181" s="1">
        <f t="shared" si="229"/>
        <v>5957.883056250001</v>
      </c>
      <c r="BF181" s="1">
        <f t="shared" si="230"/>
        <v>4438.622876906251</v>
      </c>
      <c r="BG181" s="1">
        <f t="shared" si="231"/>
        <v>7798.86892063125</v>
      </c>
      <c r="BH181" s="1">
        <f t="shared" si="232"/>
        <v>1211.772825</v>
      </c>
      <c r="BI181" s="1">
        <f t="shared" si="233"/>
        <v>770.6875167000001</v>
      </c>
      <c r="BJ181" s="1">
        <f t="shared" si="234"/>
        <v>1763.129460375</v>
      </c>
      <c r="BL181" s="2">
        <v>0.97</v>
      </c>
      <c r="BM181" s="2">
        <v>0</v>
      </c>
      <c r="BO181" s="1">
        <f t="shared" si="199"/>
        <v>1847.9535581250002</v>
      </c>
      <c r="BP181" s="1">
        <f t="shared" si="200"/>
        <v>1080.23973193755</v>
      </c>
      <c r="BQ181" s="1">
        <f t="shared" si="201"/>
        <v>2550.9150916357503</v>
      </c>
      <c r="BR181" s="1">
        <f t="shared" si="202"/>
        <v>131.19460452000004</v>
      </c>
      <c r="BS181" s="1">
        <f t="shared" si="203"/>
        <v>0</v>
      </c>
      <c r="BT181" s="1">
        <f t="shared" si="204"/>
        <v>314.2241972858519</v>
      </c>
      <c r="BU181" s="1">
        <f t="shared" si="205"/>
        <v>5957.883056250001</v>
      </c>
      <c r="BV181" s="1">
        <f t="shared" si="206"/>
        <v>4438.622876906251</v>
      </c>
      <c r="BW181" s="1">
        <f t="shared" si="207"/>
        <v>7798.86892063125</v>
      </c>
      <c r="BX181" s="1">
        <f t="shared" si="208"/>
        <v>1211.772825</v>
      </c>
      <c r="BY181" s="1">
        <f t="shared" si="209"/>
        <v>770.6875167000001</v>
      </c>
      <c r="BZ181" s="1">
        <f t="shared" si="210"/>
        <v>1763.129460375</v>
      </c>
      <c r="CA181" s="1">
        <f t="shared" si="211"/>
        <v>9643.611280770001</v>
      </c>
      <c r="CB181" s="1">
        <f t="shared" si="212"/>
        <v>7564.125</v>
      </c>
      <c r="CC181" s="1">
        <f t="shared" si="213"/>
        <v>16573.66947725973</v>
      </c>
      <c r="CD181" s="1">
        <f t="shared" si="236"/>
        <v>36353.18475</v>
      </c>
      <c r="CE181" s="1">
        <f t="shared" si="237"/>
        <v>29082.5478</v>
      </c>
      <c r="CF181" s="1">
        <f t="shared" si="238"/>
        <v>48349.7357175</v>
      </c>
      <c r="CG181" t="s">
        <v>193</v>
      </c>
      <c r="CH181" s="21" t="s">
        <v>171</v>
      </c>
      <c r="CI181">
        <v>2521375</v>
      </c>
      <c r="CJ181" s="102">
        <v>10.19303</v>
      </c>
      <c r="CK181" s="1">
        <v>51.05171</v>
      </c>
      <c r="CL181" s="1">
        <f t="shared" si="214"/>
        <v>61.24474</v>
      </c>
      <c r="CM181" s="1">
        <v>9.75862385083714</v>
      </c>
      <c r="CN181" s="1">
        <v>39.7419313503972</v>
      </c>
      <c r="CO181" s="1">
        <f t="shared" si="215"/>
        <v>49.50055520123434</v>
      </c>
      <c r="CP181" s="1">
        <f t="shared" si="239"/>
        <v>16.31538299432684</v>
      </c>
      <c r="CQ181" s="1">
        <f t="shared" si="240"/>
        <v>8.637846882615392</v>
      </c>
      <c r="CR181" s="1">
        <f t="shared" si="241"/>
        <v>22.552452949682365</v>
      </c>
      <c r="CS181" s="1">
        <f t="shared" si="242"/>
        <v>2.823080243135108</v>
      </c>
      <c r="CT181" s="1">
        <f t="shared" si="243"/>
        <v>0.34289722077358303</v>
      </c>
      <c r="CU181" s="1">
        <f t="shared" si="244"/>
        <v>5.556234154477544</v>
      </c>
    </row>
    <row r="182" spans="1:99" ht="13.5" customHeight="1">
      <c r="A182" s="143" t="s">
        <v>343</v>
      </c>
      <c r="B182" s="134">
        <v>0.05</v>
      </c>
      <c r="C182" t="s">
        <v>346</v>
      </c>
      <c r="E182" s="140"/>
      <c r="V182" s="1">
        <f t="shared" si="185"/>
        <v>381.61383960000006</v>
      </c>
      <c r="W182" s="1">
        <f t="shared" si="186"/>
        <v>305.2910716800001</v>
      </c>
      <c r="X182" s="1">
        <f t="shared" si="187"/>
        <v>507.5464066680001</v>
      </c>
      <c r="Y182" s="1">
        <f t="shared" si="188"/>
        <v>72.24240960000003</v>
      </c>
      <c r="Z182" s="1">
        <f t="shared" si="189"/>
        <v>57.793927680000024</v>
      </c>
      <c r="AA182" s="1">
        <f t="shared" si="190"/>
        <v>96.08240476799995</v>
      </c>
      <c r="AB182" s="1">
        <f t="shared" si="219"/>
        <v>4166.958239596799</v>
      </c>
      <c r="AC182" s="1">
        <f t="shared" si="220"/>
        <v>3333.56659167744</v>
      </c>
      <c r="AD182" s="1">
        <f t="shared" si="221"/>
        <v>5542.054458663744</v>
      </c>
      <c r="AE182" s="1">
        <f t="shared" si="222"/>
        <v>2441.4810629496</v>
      </c>
      <c r="AF182" s="1">
        <f t="shared" si="223"/>
        <v>1953.1848503596802</v>
      </c>
      <c r="AG182" s="1">
        <f t="shared" si="224"/>
        <v>3247.1698137229687</v>
      </c>
      <c r="AP182" t="s">
        <v>194</v>
      </c>
      <c r="AQ182" s="21" t="s">
        <v>171</v>
      </c>
      <c r="AR182">
        <v>557426</v>
      </c>
      <c r="AS182" s="1">
        <f t="shared" si="225"/>
        <v>8361.39</v>
      </c>
      <c r="AT182" s="1">
        <f t="shared" si="227"/>
        <v>6689.112</v>
      </c>
      <c r="AU182" s="1">
        <f t="shared" si="228"/>
        <v>11120.6487</v>
      </c>
      <c r="AV182" s="1">
        <f t="shared" si="216"/>
        <v>2232.49113</v>
      </c>
      <c r="AW182" s="1">
        <f t="shared" si="217"/>
        <v>1672.278</v>
      </c>
      <c r="AX182" s="1">
        <f t="shared" si="218"/>
        <v>3904.76913</v>
      </c>
      <c r="AY182" s="1">
        <f t="shared" si="193"/>
        <v>408.54587678999997</v>
      </c>
      <c r="AZ182" s="1">
        <f t="shared" si="194"/>
        <v>238.81957773636236</v>
      </c>
      <c r="BA182" s="1">
        <f t="shared" si="195"/>
        <v>563.956728320916</v>
      </c>
      <c r="BB182" s="1">
        <f t="shared" si="196"/>
        <v>129.48448554</v>
      </c>
      <c r="BC182" s="1">
        <f t="shared" si="197"/>
        <v>0</v>
      </c>
      <c r="BD182" s="1">
        <f t="shared" si="198"/>
        <v>310.128291316854</v>
      </c>
      <c r="BE182" s="1">
        <f t="shared" si="229"/>
        <v>1317.1697666999999</v>
      </c>
      <c r="BF182" s="1">
        <f t="shared" si="230"/>
        <v>981.2914761914999</v>
      </c>
      <c r="BG182" s="1">
        <f t="shared" si="231"/>
        <v>1724.1752246102997</v>
      </c>
      <c r="BH182" s="1">
        <f t="shared" si="232"/>
        <v>267.89893559999996</v>
      </c>
      <c r="BI182" s="1">
        <f t="shared" si="233"/>
        <v>170.38372304159998</v>
      </c>
      <c r="BJ182" s="1">
        <f t="shared" si="234"/>
        <v>389.79295129799993</v>
      </c>
      <c r="BL182" s="2">
        <v>0.98</v>
      </c>
      <c r="BM182" s="2">
        <v>0.6</v>
      </c>
      <c r="BO182" s="1">
        <f t="shared" si="199"/>
        <v>266.37191166708</v>
      </c>
      <c r="BP182" s="1">
        <f t="shared" si="200"/>
        <v>155.71036468410827</v>
      </c>
      <c r="BQ182" s="1">
        <f t="shared" si="201"/>
        <v>367.69978686523723</v>
      </c>
      <c r="BR182" s="1">
        <f t="shared" si="202"/>
        <v>27.968648876640003</v>
      </c>
      <c r="BS182" s="1">
        <f t="shared" si="203"/>
        <v>0</v>
      </c>
      <c r="BT182" s="1">
        <f t="shared" si="204"/>
        <v>66.98771092444048</v>
      </c>
      <c r="BU182" s="1">
        <f t="shared" si="205"/>
        <v>1317.1697666999999</v>
      </c>
      <c r="BV182" s="1">
        <f t="shared" si="206"/>
        <v>981.2914761914999</v>
      </c>
      <c r="BW182" s="1">
        <f t="shared" si="207"/>
        <v>1724.1752246102997</v>
      </c>
      <c r="BX182" s="1">
        <f t="shared" si="208"/>
        <v>267.89893559999996</v>
      </c>
      <c r="BY182" s="1">
        <f t="shared" si="209"/>
        <v>170.38372304159998</v>
      </c>
      <c r="BZ182" s="1">
        <f t="shared" si="210"/>
        <v>389.79295129799993</v>
      </c>
      <c r="CA182" s="1">
        <f t="shared" si="211"/>
        <v>1988.80132821372</v>
      </c>
      <c r="CB182" s="1">
        <f t="shared" si="212"/>
        <v>1589.168786947746</v>
      </c>
      <c r="CC182" s="1">
        <f t="shared" si="213"/>
        <v>3465.371608151908</v>
      </c>
      <c r="CD182" s="1">
        <f t="shared" si="236"/>
        <v>7682.445131999999</v>
      </c>
      <c r="CE182" s="1">
        <f t="shared" si="237"/>
        <v>6145.9561056</v>
      </c>
      <c r="CF182" s="1">
        <f t="shared" si="238"/>
        <v>10217.65202556</v>
      </c>
      <c r="CG182" t="s">
        <v>194</v>
      </c>
      <c r="CH182" s="21" t="s">
        <v>171</v>
      </c>
      <c r="CI182">
        <v>557426</v>
      </c>
      <c r="CJ182" s="102">
        <v>0</v>
      </c>
      <c r="CK182" s="1">
        <v>10.6172</v>
      </c>
      <c r="CL182" s="1">
        <f t="shared" si="214"/>
        <v>10.6172</v>
      </c>
      <c r="CM182" s="1">
        <v>0</v>
      </c>
      <c r="CN182" s="1">
        <v>9.6218375</v>
      </c>
      <c r="CO182" s="1">
        <f t="shared" si="215"/>
        <v>9.6218375</v>
      </c>
      <c r="CP182" s="1">
        <f t="shared" si="239"/>
        <v>2.3356230088991383</v>
      </c>
      <c r="CQ182" s="1">
        <f t="shared" si="240"/>
        <v>1.1654905168513128</v>
      </c>
      <c r="CR182" s="1">
        <f t="shared" si="241"/>
        <v>3.396725057353296</v>
      </c>
      <c r="CS182" s="1">
        <f t="shared" si="242"/>
        <v>0.5302276731336378</v>
      </c>
      <c r="CT182" s="1">
        <f t="shared" si="243"/>
        <v>0.06428728763180061</v>
      </c>
      <c r="CU182" s="1">
        <f t="shared" si="244"/>
        <v>1.0456316285073</v>
      </c>
    </row>
    <row r="183" spans="1:99" ht="13.5" customHeight="1">
      <c r="A183" s="143" t="s">
        <v>344</v>
      </c>
      <c r="B183" s="134" t="s">
        <v>345</v>
      </c>
      <c r="C183" t="s">
        <v>328</v>
      </c>
      <c r="E183" s="140"/>
      <c r="V183" s="1">
        <f t="shared" si="185"/>
        <v>395.03940000000006</v>
      </c>
      <c r="W183" s="1">
        <f t="shared" si="186"/>
        <v>316.03152</v>
      </c>
      <c r="X183" s="1">
        <f t="shared" si="187"/>
        <v>525.402402</v>
      </c>
      <c r="Y183" s="1">
        <f t="shared" si="188"/>
        <v>55.98272640000002</v>
      </c>
      <c r="Z183" s="1">
        <f t="shared" si="189"/>
        <v>44.78618111999998</v>
      </c>
      <c r="AA183" s="1">
        <f t="shared" si="190"/>
        <v>74.457026112</v>
      </c>
      <c r="AB183" s="1">
        <f t="shared" si="219"/>
        <v>2945.8977460992</v>
      </c>
      <c r="AC183" s="1">
        <f t="shared" si="220"/>
        <v>2356.7181968793598</v>
      </c>
      <c r="AD183" s="1">
        <f t="shared" si="221"/>
        <v>3918.0440023119363</v>
      </c>
      <c r="AE183" s="1">
        <f t="shared" si="222"/>
        <v>1726.0440702624</v>
      </c>
      <c r="AF183" s="1">
        <f t="shared" si="223"/>
        <v>1380.83525620992</v>
      </c>
      <c r="AG183" s="1">
        <f t="shared" si="224"/>
        <v>2295.6386134489926</v>
      </c>
      <c r="AP183" t="s">
        <v>195</v>
      </c>
      <c r="AQ183" s="21" t="s">
        <v>171</v>
      </c>
      <c r="AR183">
        <v>376228</v>
      </c>
      <c r="AS183" s="1">
        <f t="shared" si="225"/>
        <v>5643.42</v>
      </c>
      <c r="AT183" s="1">
        <f t="shared" si="227"/>
        <v>4514.736</v>
      </c>
      <c r="AU183" s="1">
        <f t="shared" si="228"/>
        <v>7505.748600000001</v>
      </c>
      <c r="AV183" s="1">
        <f aca="true" t="shared" si="245" ref="AV183:AV209">AS183*0.267</f>
        <v>1506.79314</v>
      </c>
      <c r="AW183" s="1">
        <f aca="true" t="shared" si="246" ref="AW183:AW209">AS183*0.2</f>
        <v>1128.684</v>
      </c>
      <c r="AX183" s="1">
        <f aca="true" t="shared" si="247" ref="AX183:AX209">AS183*0.467</f>
        <v>2635.47714</v>
      </c>
      <c r="AY183" s="1">
        <f t="shared" si="193"/>
        <v>275.74314462</v>
      </c>
      <c r="AZ183" s="1">
        <f t="shared" si="194"/>
        <v>161.1884126190672</v>
      </c>
      <c r="BA183" s="1">
        <f t="shared" si="195"/>
        <v>380.635836833448</v>
      </c>
      <c r="BB183" s="1">
        <f t="shared" si="196"/>
        <v>87.39400212000001</v>
      </c>
      <c r="BC183" s="1">
        <f t="shared" si="197"/>
        <v>0</v>
      </c>
      <c r="BD183" s="1">
        <f t="shared" si="198"/>
        <v>209.317374477612</v>
      </c>
      <c r="BE183" s="1">
        <f t="shared" si="229"/>
        <v>889.0079526</v>
      </c>
      <c r="BF183" s="1">
        <f t="shared" si="230"/>
        <v>662.310924687</v>
      </c>
      <c r="BG183" s="1">
        <f t="shared" si="231"/>
        <v>1163.7114099533999</v>
      </c>
      <c r="BH183" s="1">
        <f t="shared" si="232"/>
        <v>180.8151768</v>
      </c>
      <c r="BI183" s="1">
        <f t="shared" si="233"/>
        <v>114.9984524448</v>
      </c>
      <c r="BJ183" s="1">
        <f t="shared" si="234"/>
        <v>263.086082244</v>
      </c>
      <c r="BL183" s="2">
        <v>0.94</v>
      </c>
      <c r="BM183" s="2">
        <v>0</v>
      </c>
      <c r="BO183" s="1">
        <f t="shared" si="199"/>
        <v>275.74314462</v>
      </c>
      <c r="BP183" s="1">
        <f t="shared" si="200"/>
        <v>161.1884126190672</v>
      </c>
      <c r="BQ183" s="1">
        <f t="shared" si="201"/>
        <v>380.635836833448</v>
      </c>
      <c r="BR183" s="1">
        <f t="shared" si="202"/>
        <v>21.67371252576001</v>
      </c>
      <c r="BS183" s="1">
        <f t="shared" si="203"/>
        <v>0</v>
      </c>
      <c r="BT183" s="1">
        <f t="shared" si="204"/>
        <v>51.91070887044779</v>
      </c>
      <c r="BU183" s="1">
        <f t="shared" si="205"/>
        <v>889.0079526</v>
      </c>
      <c r="BV183" s="1">
        <f t="shared" si="206"/>
        <v>662.310924687</v>
      </c>
      <c r="BW183" s="1">
        <f t="shared" si="207"/>
        <v>1163.7114099533999</v>
      </c>
      <c r="BX183" s="1">
        <f t="shared" si="208"/>
        <v>180.8151768</v>
      </c>
      <c r="BY183" s="1">
        <f t="shared" si="209"/>
        <v>114.9984524448</v>
      </c>
      <c r="BZ183" s="1">
        <f t="shared" si="210"/>
        <v>263.086082244</v>
      </c>
      <c r="CA183" s="1">
        <f t="shared" si="211"/>
        <v>1441.07285040576</v>
      </c>
      <c r="CB183" s="1">
        <f t="shared" si="212"/>
        <v>1128.684</v>
      </c>
      <c r="CC183" s="1">
        <f t="shared" si="213"/>
        <v>2478.070474392836</v>
      </c>
      <c r="CD183" s="1">
        <f t="shared" si="236"/>
        <v>5431.227408</v>
      </c>
      <c r="CE183" s="1">
        <f t="shared" si="237"/>
        <v>4344.9819264</v>
      </c>
      <c r="CF183" s="1">
        <f t="shared" si="238"/>
        <v>7223.532452640001</v>
      </c>
      <c r="CG183" t="s">
        <v>195</v>
      </c>
      <c r="CH183" s="21" t="s">
        <v>171</v>
      </c>
      <c r="CI183">
        <v>376228</v>
      </c>
      <c r="CJ183" s="102">
        <v>0</v>
      </c>
      <c r="CK183" s="1">
        <v>2.926673</v>
      </c>
      <c r="CL183" s="1">
        <f t="shared" si="214"/>
        <v>2.926673</v>
      </c>
      <c r="CM183" s="1">
        <v>0</v>
      </c>
      <c r="CN183" s="1">
        <v>2.75305680508475</v>
      </c>
      <c r="CO183" s="1">
        <f t="shared" si="215"/>
        <v>2.75305680508475</v>
      </c>
      <c r="CP183" s="1">
        <f t="shared" si="239"/>
        <v>0.9074075229559336</v>
      </c>
      <c r="CQ183" s="1">
        <f t="shared" si="240"/>
        <v>0.4804084124872888</v>
      </c>
      <c r="CR183" s="1">
        <f t="shared" si="241"/>
        <v>1.2542926803966121</v>
      </c>
      <c r="CS183" s="1">
        <f t="shared" si="242"/>
        <v>0.17277715100986482</v>
      </c>
      <c r="CT183" s="1">
        <f t="shared" si="243"/>
        <v>0.021098448451065826</v>
      </c>
      <c r="CU183" s="1">
        <f t="shared" si="244"/>
        <v>0.33806287935541296</v>
      </c>
    </row>
    <row r="184" spans="1:99" ht="13.5" customHeight="1">
      <c r="A184" s="143"/>
      <c r="B184" s="134"/>
      <c r="E184" s="140"/>
      <c r="V184" s="1">
        <f t="shared" si="185"/>
        <v>1912.9989018</v>
      </c>
      <c r="W184" s="1">
        <f t="shared" si="186"/>
        <v>1530.3991214400003</v>
      </c>
      <c r="X184" s="1">
        <f t="shared" si="187"/>
        <v>2544.288539394</v>
      </c>
      <c r="Y184" s="1">
        <f t="shared" si="188"/>
        <v>560.3540159999998</v>
      </c>
      <c r="Z184" s="1">
        <f t="shared" si="189"/>
        <v>448.2832128</v>
      </c>
      <c r="AA184" s="1">
        <f t="shared" si="190"/>
        <v>745.2708412800002</v>
      </c>
      <c r="AB184" s="1">
        <f t="shared" si="219"/>
        <v>27577.904239151994</v>
      </c>
      <c r="AC184" s="1">
        <f t="shared" si="220"/>
        <v>22062.323391321595</v>
      </c>
      <c r="AD184" s="1">
        <f t="shared" si="221"/>
        <v>36678.61263807216</v>
      </c>
      <c r="AE184" s="1">
        <f t="shared" si="222"/>
        <v>16158.292712393999</v>
      </c>
      <c r="AF184" s="1">
        <f t="shared" si="223"/>
        <v>12926.6341699152</v>
      </c>
      <c r="AG184" s="1">
        <f t="shared" si="224"/>
        <v>21490.529307484023</v>
      </c>
      <c r="AP184" t="s">
        <v>196</v>
      </c>
      <c r="AQ184" s="21" t="s">
        <v>171</v>
      </c>
      <c r="AR184">
        <v>3765820</v>
      </c>
      <c r="AS184" s="1">
        <f t="shared" si="225"/>
        <v>56487.299999999996</v>
      </c>
      <c r="AT184" s="1">
        <f t="shared" si="227"/>
        <v>45189.84</v>
      </c>
      <c r="AU184" s="1">
        <f t="shared" si="228"/>
        <v>75128.109</v>
      </c>
      <c r="AV184" s="1">
        <f t="shared" si="245"/>
        <v>15082.1091</v>
      </c>
      <c r="AW184" s="1">
        <f t="shared" si="246"/>
        <v>11297.46</v>
      </c>
      <c r="AX184" s="1">
        <f t="shared" si="247"/>
        <v>26379.5691</v>
      </c>
      <c r="AY184" s="1">
        <f t="shared" si="193"/>
        <v>2760.0259653</v>
      </c>
      <c r="AZ184" s="1">
        <f t="shared" si="194"/>
        <v>1613.4007782757678</v>
      </c>
      <c r="BA184" s="1">
        <f t="shared" si="195"/>
        <v>3809.93984250012</v>
      </c>
      <c r="BB184" s="1">
        <f t="shared" si="196"/>
        <v>874.7623278</v>
      </c>
      <c r="BC184" s="1">
        <f t="shared" si="197"/>
        <v>0</v>
      </c>
      <c r="BD184" s="1">
        <f t="shared" si="198"/>
        <v>2095.1432513137797</v>
      </c>
      <c r="BE184" s="1">
        <f t="shared" si="229"/>
        <v>8898.444368999999</v>
      </c>
      <c r="BF184" s="1">
        <f t="shared" si="230"/>
        <v>6629.3410549049995</v>
      </c>
      <c r="BG184" s="1">
        <f t="shared" si="231"/>
        <v>11648.063679020997</v>
      </c>
      <c r="BH184" s="1">
        <f t="shared" si="232"/>
        <v>1809.8530919999998</v>
      </c>
      <c r="BI184" s="1">
        <f t="shared" si="233"/>
        <v>1151.066566512</v>
      </c>
      <c r="BJ184" s="1">
        <f t="shared" si="234"/>
        <v>2633.33624886</v>
      </c>
      <c r="BL184" s="2">
        <v>0.94</v>
      </c>
      <c r="BM184" s="2">
        <v>0.89</v>
      </c>
      <c r="BO184" s="1">
        <f t="shared" si="199"/>
        <v>1335.3005620121398</v>
      </c>
      <c r="BP184" s="1">
        <f t="shared" si="200"/>
        <v>780.5632965298165</v>
      </c>
      <c r="BQ184" s="1">
        <f t="shared" si="201"/>
        <v>1843.2488958015583</v>
      </c>
      <c r="BR184" s="1">
        <f t="shared" si="202"/>
        <v>216.94105729440003</v>
      </c>
      <c r="BS184" s="1">
        <f t="shared" si="203"/>
        <v>0</v>
      </c>
      <c r="BT184" s="1">
        <f t="shared" si="204"/>
        <v>519.5955263258174</v>
      </c>
      <c r="BU184" s="1">
        <f t="shared" si="205"/>
        <v>8898.444368999999</v>
      </c>
      <c r="BV184" s="1">
        <f t="shared" si="206"/>
        <v>6629.3410549049995</v>
      </c>
      <c r="BW184" s="1">
        <f t="shared" si="207"/>
        <v>11648.063679020997</v>
      </c>
      <c r="BX184" s="1">
        <f t="shared" si="208"/>
        <v>1809.8530919999998</v>
      </c>
      <c r="BY184" s="1">
        <f t="shared" si="209"/>
        <v>1151.066566512</v>
      </c>
      <c r="BZ184" s="1">
        <f t="shared" si="210"/>
        <v>2633.33624886</v>
      </c>
      <c r="CA184" s="1">
        <f t="shared" si="211"/>
        <v>12999.56242620654</v>
      </c>
      <c r="CB184" s="1">
        <f t="shared" si="212"/>
        <v>10464.622518254047</v>
      </c>
      <c r="CC184" s="1">
        <f t="shared" si="213"/>
        <v>22837.33042831348</v>
      </c>
      <c r="CD184" s="1">
        <f t="shared" si="236"/>
        <v>50844.21872999999</v>
      </c>
      <c r="CE184" s="1">
        <f t="shared" si="237"/>
        <v>40675.374983999995</v>
      </c>
      <c r="CF184" s="1">
        <f t="shared" si="238"/>
        <v>67622.8109109</v>
      </c>
      <c r="CG184" t="s">
        <v>196</v>
      </c>
      <c r="CH184" s="21" t="s">
        <v>171</v>
      </c>
      <c r="CI184">
        <v>3765820</v>
      </c>
      <c r="CJ184" s="102">
        <v>40.86051</v>
      </c>
      <c r="CK184" s="1">
        <v>135.1037</v>
      </c>
      <c r="CL184" s="1">
        <f t="shared" si="214"/>
        <v>175.96421</v>
      </c>
      <c r="CM184" s="1">
        <v>39.0162882236025</v>
      </c>
      <c r="CN184" s="1">
        <v>126.129761767782</v>
      </c>
      <c r="CO184" s="1">
        <f t="shared" si="215"/>
        <v>165.1460499913845</v>
      </c>
      <c r="CP184" s="1">
        <f t="shared" si="239"/>
        <v>31.733368483495166</v>
      </c>
      <c r="CQ184" s="1">
        <f t="shared" si="240"/>
        <v>15.322329428748048</v>
      </c>
      <c r="CR184" s="1">
        <f t="shared" si="241"/>
        <v>47.594738241882425</v>
      </c>
      <c r="CS184" s="1">
        <f t="shared" si="242"/>
        <v>10.364284516521536</v>
      </c>
      <c r="CT184" s="1">
        <f t="shared" si="243"/>
        <v>1.2656206062312267</v>
      </c>
      <c r="CU184" s="1">
        <f t="shared" si="244"/>
        <v>20.27918532997424</v>
      </c>
    </row>
    <row r="185" spans="1:99" ht="13.5" customHeight="1">
      <c r="A185" s="143" t="s">
        <v>315</v>
      </c>
      <c r="B185" s="134" t="s">
        <v>318</v>
      </c>
      <c r="C185" t="s">
        <v>327</v>
      </c>
      <c r="E185" s="140"/>
      <c r="V185" s="1">
        <f t="shared" si="185"/>
        <v>436.13009999999997</v>
      </c>
      <c r="W185" s="1">
        <f t="shared" si="186"/>
        <v>348.90408</v>
      </c>
      <c r="X185" s="1">
        <f t="shared" si="187"/>
        <v>580.0530330000001</v>
      </c>
      <c r="Y185" s="1">
        <f t="shared" si="188"/>
        <v>249.2172</v>
      </c>
      <c r="Z185" s="1">
        <f t="shared" si="189"/>
        <v>199.37376</v>
      </c>
      <c r="AA185" s="1">
        <f t="shared" si="190"/>
        <v>331.45887600000003</v>
      </c>
      <c r="AB185" s="1">
        <f t="shared" si="219"/>
        <v>3379.3852319999996</v>
      </c>
      <c r="AC185" s="1">
        <f t="shared" si="220"/>
        <v>2703.5081856</v>
      </c>
      <c r="AD185" s="1">
        <f t="shared" si="221"/>
        <v>4494.58235856</v>
      </c>
      <c r="AE185" s="1">
        <f t="shared" si="222"/>
        <v>1980.030654</v>
      </c>
      <c r="AF185" s="1">
        <f t="shared" si="223"/>
        <v>1584.0245232000002</v>
      </c>
      <c r="AG185" s="1">
        <f t="shared" si="224"/>
        <v>2633.4407698200002</v>
      </c>
      <c r="AP185" t="s">
        <v>197</v>
      </c>
      <c r="AQ185" s="19" t="s">
        <v>198</v>
      </c>
      <c r="AR185">
        <v>207681</v>
      </c>
      <c r="AS185" s="1">
        <f>AR185*0.03</f>
        <v>6230.429999999999</v>
      </c>
      <c r="AT185" s="1">
        <f t="shared" si="227"/>
        <v>4984.344</v>
      </c>
      <c r="AU185" s="1">
        <f t="shared" si="228"/>
        <v>8286.4719</v>
      </c>
      <c r="AV185" s="1">
        <f t="shared" si="245"/>
        <v>1663.52481</v>
      </c>
      <c r="AW185" s="1">
        <f t="shared" si="246"/>
        <v>1246.086</v>
      </c>
      <c r="AX185" s="1">
        <f t="shared" si="247"/>
        <v>2909.6108099999997</v>
      </c>
      <c r="AY185" s="1">
        <f t="shared" si="193"/>
        <v>304.42504023</v>
      </c>
      <c r="AZ185" s="1">
        <f t="shared" si="194"/>
        <v>177.9547015168488</v>
      </c>
      <c r="BA185" s="1">
        <f t="shared" si="195"/>
        <v>420.228325533492</v>
      </c>
      <c r="BB185" s="1">
        <f t="shared" si="196"/>
        <v>96.48443898</v>
      </c>
      <c r="BC185" s="1">
        <f t="shared" si="197"/>
        <v>0</v>
      </c>
      <c r="BD185" s="1">
        <f t="shared" si="198"/>
        <v>231.08987980099795</v>
      </c>
      <c r="BE185" s="1">
        <f t="shared" si="229"/>
        <v>981.4796378999998</v>
      </c>
      <c r="BF185" s="1">
        <f t="shared" si="230"/>
        <v>731.2023302354999</v>
      </c>
      <c r="BG185" s="1">
        <f t="shared" si="231"/>
        <v>1284.7568460110997</v>
      </c>
      <c r="BH185" s="1">
        <f t="shared" si="232"/>
        <v>199.62297719999998</v>
      </c>
      <c r="BI185" s="1">
        <f t="shared" si="233"/>
        <v>126.9602134992</v>
      </c>
      <c r="BJ185" s="1">
        <f t="shared" si="234"/>
        <v>290.451431826</v>
      </c>
      <c r="BL185" s="2">
        <v>0</v>
      </c>
      <c r="BM185" s="2">
        <v>0</v>
      </c>
      <c r="BO185" s="1">
        <f t="shared" si="199"/>
        <v>304.42504023</v>
      </c>
      <c r="BP185" s="1">
        <f t="shared" si="200"/>
        <v>177.9547015168488</v>
      </c>
      <c r="BQ185" s="1">
        <f t="shared" si="201"/>
        <v>420.228325533492</v>
      </c>
      <c r="BR185" s="1">
        <f t="shared" si="202"/>
        <v>96.48443898</v>
      </c>
      <c r="BS185" s="1">
        <f t="shared" si="203"/>
        <v>0</v>
      </c>
      <c r="BT185" s="1">
        <f t="shared" si="204"/>
        <v>231.08987980099795</v>
      </c>
      <c r="BU185" s="1">
        <f t="shared" si="205"/>
        <v>981.4796378999998</v>
      </c>
      <c r="BV185" s="1">
        <f t="shared" si="206"/>
        <v>731.2023302354999</v>
      </c>
      <c r="BW185" s="1">
        <f t="shared" si="207"/>
        <v>1284.7568460110997</v>
      </c>
      <c r="BX185" s="1">
        <f t="shared" si="208"/>
        <v>199.62297719999998</v>
      </c>
      <c r="BY185" s="1">
        <f t="shared" si="209"/>
        <v>126.9602134992</v>
      </c>
      <c r="BZ185" s="1">
        <f t="shared" si="210"/>
        <v>290.451431826</v>
      </c>
      <c r="CA185" s="1">
        <f t="shared" si="211"/>
        <v>1663.52481</v>
      </c>
      <c r="CB185" s="1">
        <f t="shared" si="212"/>
        <v>1246.086</v>
      </c>
      <c r="CC185" s="1">
        <f t="shared" si="213"/>
        <v>2909.6108099999997</v>
      </c>
      <c r="CD185" s="1">
        <f t="shared" si="236"/>
        <v>6230.429999999999</v>
      </c>
      <c r="CE185" s="1">
        <f t="shared" si="237"/>
        <v>4984.344</v>
      </c>
      <c r="CF185" s="1">
        <f t="shared" si="238"/>
        <v>8286.4719</v>
      </c>
      <c r="CG185" t="s">
        <v>197</v>
      </c>
      <c r="CH185" s="19" t="s">
        <v>198</v>
      </c>
      <c r="CI185">
        <v>207681</v>
      </c>
      <c r="CJ185" s="102">
        <v>17.49268</v>
      </c>
      <c r="CK185" s="1">
        <v>66.28296</v>
      </c>
      <c r="CL185" s="1">
        <f t="shared" si="214"/>
        <v>83.77564000000001</v>
      </c>
      <c r="CM185" s="1">
        <v>14.1584398895028</v>
      </c>
      <c r="CN185" s="1">
        <v>51.3767649638325</v>
      </c>
      <c r="CO185" s="1">
        <f t="shared" si="215"/>
        <v>65.5352048533353</v>
      </c>
      <c r="CP185" s="1">
        <f t="shared" si="239"/>
        <v>21.600403519659316</v>
      </c>
      <c r="CQ185" s="1">
        <f t="shared" si="240"/>
        <v>11.435893246907009</v>
      </c>
      <c r="CR185" s="1">
        <f t="shared" si="241"/>
        <v>29.857839331179562</v>
      </c>
      <c r="CS185" s="1">
        <f t="shared" si="242"/>
        <v>13.932784551819086</v>
      </c>
      <c r="CT185" s="1">
        <f t="shared" si="243"/>
        <v>1.9791631865707262</v>
      </c>
      <c r="CU185" s="1">
        <f t="shared" si="244"/>
        <v>23.645101911083376</v>
      </c>
    </row>
    <row r="186" spans="1:99" ht="13.5" customHeight="1">
      <c r="A186" s="143" t="s">
        <v>316</v>
      </c>
      <c r="B186" s="134" t="s">
        <v>319</v>
      </c>
      <c r="C186" t="s">
        <v>328</v>
      </c>
      <c r="E186" s="140"/>
      <c r="V186" s="1">
        <f t="shared" si="185"/>
        <v>346.4118</v>
      </c>
      <c r="W186" s="1">
        <f t="shared" si="186"/>
        <v>277.12944000000005</v>
      </c>
      <c r="X186" s="1">
        <f t="shared" si="187"/>
        <v>460.72769400000004</v>
      </c>
      <c r="Y186" s="1">
        <f t="shared" si="188"/>
        <v>66.5110656</v>
      </c>
      <c r="Z186" s="1">
        <f t="shared" si="189"/>
        <v>53.208852480000004</v>
      </c>
      <c r="AA186" s="1">
        <f t="shared" si="190"/>
        <v>88.459717248</v>
      </c>
      <c r="AB186" s="1">
        <f t="shared" si="219"/>
        <v>2595.0812496768</v>
      </c>
      <c r="AC186" s="1">
        <f t="shared" si="220"/>
        <v>2076.06499974144</v>
      </c>
      <c r="AD186" s="1">
        <f t="shared" si="221"/>
        <v>3451.458062070144</v>
      </c>
      <c r="AE186" s="1">
        <f t="shared" si="222"/>
        <v>1520.4956142096</v>
      </c>
      <c r="AF186" s="1">
        <f t="shared" si="223"/>
        <v>1216.39649136768</v>
      </c>
      <c r="AG186" s="1">
        <f t="shared" si="224"/>
        <v>2022.2591668987682</v>
      </c>
      <c r="AP186" t="s">
        <v>199</v>
      </c>
      <c r="AQ186" s="19" t="s">
        <v>198</v>
      </c>
      <c r="AR186">
        <v>164958</v>
      </c>
      <c r="AS186" s="1">
        <f aca="true" t="shared" si="248" ref="AS186:AS197">AR186*0.03</f>
        <v>4948.74</v>
      </c>
      <c r="AT186" s="1">
        <f t="shared" si="227"/>
        <v>3958.992</v>
      </c>
      <c r="AU186" s="1">
        <f t="shared" si="228"/>
        <v>6581.8242</v>
      </c>
      <c r="AV186" s="1">
        <f t="shared" si="245"/>
        <v>1321.31358</v>
      </c>
      <c r="AW186" s="1">
        <f t="shared" si="246"/>
        <v>989.748</v>
      </c>
      <c r="AX186" s="1">
        <f t="shared" si="247"/>
        <v>2311.06158</v>
      </c>
      <c r="AY186" s="1">
        <f t="shared" si="193"/>
        <v>241.80038514</v>
      </c>
      <c r="AZ186" s="1">
        <f t="shared" si="194"/>
        <v>141.34683313743838</v>
      </c>
      <c r="BA186" s="1">
        <f t="shared" si="195"/>
        <v>333.781251647256</v>
      </c>
      <c r="BB186" s="1">
        <f t="shared" si="196"/>
        <v>76.63618764</v>
      </c>
      <c r="BC186" s="1">
        <f t="shared" si="197"/>
        <v>0</v>
      </c>
      <c r="BD186" s="1">
        <f t="shared" si="198"/>
        <v>183.551333016564</v>
      </c>
      <c r="BE186" s="1">
        <f t="shared" si="229"/>
        <v>779.5750122</v>
      </c>
      <c r="BF186" s="1">
        <f t="shared" si="230"/>
        <v>580.7833840889999</v>
      </c>
      <c r="BG186" s="1">
        <f t="shared" si="231"/>
        <v>1020.4636909697999</v>
      </c>
      <c r="BH186" s="1">
        <f t="shared" si="232"/>
        <v>158.55762959999998</v>
      </c>
      <c r="BI186" s="1">
        <f t="shared" si="233"/>
        <v>100.8426524256</v>
      </c>
      <c r="BJ186" s="1">
        <f t="shared" si="234"/>
        <v>230.70135106799998</v>
      </c>
      <c r="BL186" s="2">
        <v>0.83</v>
      </c>
      <c r="BM186" s="2">
        <v>0</v>
      </c>
      <c r="BO186" s="1">
        <f t="shared" si="199"/>
        <v>241.80038514</v>
      </c>
      <c r="BP186" s="1">
        <f t="shared" si="200"/>
        <v>141.34683313743838</v>
      </c>
      <c r="BQ186" s="1">
        <f t="shared" si="201"/>
        <v>333.781251647256</v>
      </c>
      <c r="BR186" s="1">
        <f t="shared" si="202"/>
        <v>25.74975904704</v>
      </c>
      <c r="BS186" s="1">
        <f t="shared" si="203"/>
        <v>0</v>
      </c>
      <c r="BT186" s="1">
        <f t="shared" si="204"/>
        <v>61.67324789356552</v>
      </c>
      <c r="BU186" s="1">
        <f t="shared" si="205"/>
        <v>779.5750122</v>
      </c>
      <c r="BV186" s="1">
        <f t="shared" si="206"/>
        <v>580.7833840889999</v>
      </c>
      <c r="BW186" s="1">
        <f t="shared" si="207"/>
        <v>1020.4636909697999</v>
      </c>
      <c r="BX186" s="1">
        <f t="shared" si="208"/>
        <v>158.55762959999998</v>
      </c>
      <c r="BY186" s="1">
        <f t="shared" si="209"/>
        <v>100.8426524256</v>
      </c>
      <c r="BZ186" s="1">
        <f t="shared" si="210"/>
        <v>230.70135106799998</v>
      </c>
      <c r="CA186" s="1">
        <f t="shared" si="211"/>
        <v>1270.42715140704</v>
      </c>
      <c r="CB186" s="1">
        <f t="shared" si="212"/>
        <v>989.748</v>
      </c>
      <c r="CC186" s="1">
        <f t="shared" si="213"/>
        <v>2189.1834948770015</v>
      </c>
      <c r="CD186" s="1">
        <f t="shared" si="236"/>
        <v>4784.4418319999995</v>
      </c>
      <c r="CE186" s="1">
        <f t="shared" si="237"/>
        <v>3827.5534656</v>
      </c>
      <c r="CF186" s="1">
        <f t="shared" si="238"/>
        <v>6363.30763656</v>
      </c>
      <c r="CG186" t="s">
        <v>199</v>
      </c>
      <c r="CH186" s="19" t="s">
        <v>198</v>
      </c>
      <c r="CI186">
        <v>164958</v>
      </c>
      <c r="CJ186" s="102">
        <v>12.32121</v>
      </c>
      <c r="CK186" s="1">
        <v>14.5233</v>
      </c>
      <c r="CL186" s="1">
        <f t="shared" si="214"/>
        <v>26.84451</v>
      </c>
      <c r="CM186" s="1">
        <v>11.1946993714286</v>
      </c>
      <c r="CN186" s="1">
        <v>13.2656653349723</v>
      </c>
      <c r="CO186" s="1">
        <f t="shared" si="215"/>
        <v>24.460364706400902</v>
      </c>
      <c r="CP186" s="1">
        <f t="shared" si="239"/>
        <v>8.062136207229738</v>
      </c>
      <c r="CQ186" s="1">
        <f t="shared" si="240"/>
        <v>4.268333641266957</v>
      </c>
      <c r="CR186" s="1">
        <f t="shared" si="241"/>
        <v>11.144142160236251</v>
      </c>
      <c r="CS186" s="1">
        <f t="shared" si="242"/>
        <v>2.034494118873737</v>
      </c>
      <c r="CT186" s="1">
        <f t="shared" si="243"/>
        <v>0.2532832511269905</v>
      </c>
      <c r="CU186" s="1">
        <f t="shared" si="244"/>
        <v>3.899511250651387</v>
      </c>
    </row>
    <row r="187" spans="1:99" ht="13.5" customHeight="1">
      <c r="A187" s="143"/>
      <c r="B187" s="134"/>
      <c r="E187" s="140"/>
      <c r="V187" s="1">
        <f t="shared" si="185"/>
        <v>469.9430001000001</v>
      </c>
      <c r="W187" s="1">
        <f t="shared" si="186"/>
        <v>375.9544000800001</v>
      </c>
      <c r="X187" s="1">
        <f t="shared" si="187"/>
        <v>625.0241901330002</v>
      </c>
      <c r="Y187" s="1">
        <f t="shared" si="188"/>
        <v>121.778208</v>
      </c>
      <c r="Z187" s="1">
        <f t="shared" si="189"/>
        <v>97.4225664</v>
      </c>
      <c r="AA187" s="1">
        <f t="shared" si="190"/>
        <v>161.96501663999993</v>
      </c>
      <c r="AB187" s="1">
        <f t="shared" si="219"/>
        <v>5556.787984152001</v>
      </c>
      <c r="AC187" s="1">
        <f t="shared" si="220"/>
        <v>4445.4303873216</v>
      </c>
      <c r="AD187" s="1">
        <f t="shared" si="221"/>
        <v>7390.52801892216</v>
      </c>
      <c r="AE187" s="1">
        <f t="shared" si="222"/>
        <v>3255.802399269001</v>
      </c>
      <c r="AF187" s="1">
        <f t="shared" si="223"/>
        <v>2604.6419194152004</v>
      </c>
      <c r="AG187" s="1">
        <f t="shared" si="224"/>
        <v>4330.217191027771</v>
      </c>
      <c r="AP187" t="s">
        <v>200</v>
      </c>
      <c r="AQ187" s="19" t="s">
        <v>198</v>
      </c>
      <c r="AR187">
        <v>373095</v>
      </c>
      <c r="AS187" s="1">
        <f t="shared" si="248"/>
        <v>11192.85</v>
      </c>
      <c r="AT187" s="1">
        <f t="shared" si="227"/>
        <v>8954.28</v>
      </c>
      <c r="AU187" s="1">
        <f t="shared" si="228"/>
        <v>14886.490500000002</v>
      </c>
      <c r="AV187" s="1">
        <f t="shared" si="245"/>
        <v>2988.4909500000003</v>
      </c>
      <c r="AW187" s="1">
        <f t="shared" si="246"/>
        <v>2238.57</v>
      </c>
      <c r="AX187" s="1">
        <f t="shared" si="247"/>
        <v>5227.06095</v>
      </c>
      <c r="AY187" s="1">
        <f t="shared" si="193"/>
        <v>546.89384385</v>
      </c>
      <c r="AZ187" s="1">
        <f t="shared" si="194"/>
        <v>319.692265360956</v>
      </c>
      <c r="BA187" s="1">
        <f t="shared" si="195"/>
        <v>754.9322620505401</v>
      </c>
      <c r="BB187" s="1">
        <f t="shared" si="196"/>
        <v>173.33247510000004</v>
      </c>
      <c r="BC187" s="1">
        <f t="shared" si="197"/>
        <v>0</v>
      </c>
      <c r="BD187" s="1">
        <f t="shared" si="198"/>
        <v>415.14861111201003</v>
      </c>
      <c r="BE187" s="1">
        <f t="shared" si="229"/>
        <v>1763.2096605000002</v>
      </c>
      <c r="BF187" s="1">
        <f t="shared" si="230"/>
        <v>1313.5911970725</v>
      </c>
      <c r="BG187" s="1">
        <f t="shared" si="231"/>
        <v>2308.0414455945</v>
      </c>
      <c r="BH187" s="1">
        <f t="shared" si="232"/>
        <v>358.618914</v>
      </c>
      <c r="BI187" s="1">
        <f t="shared" si="233"/>
        <v>228.08162930400002</v>
      </c>
      <c r="BJ187" s="1">
        <f t="shared" si="234"/>
        <v>521.79051987</v>
      </c>
      <c r="BL187" s="2">
        <v>0.91</v>
      </c>
      <c r="BM187" s="2">
        <v>0.69</v>
      </c>
      <c r="BO187" s="1">
        <f t="shared" si="199"/>
        <v>328.02692754123007</v>
      </c>
      <c r="BP187" s="1">
        <f t="shared" si="200"/>
        <v>191.75142076350144</v>
      </c>
      <c r="BQ187" s="1">
        <f t="shared" si="201"/>
        <v>452.808370777914</v>
      </c>
      <c r="BR187" s="1">
        <f t="shared" si="202"/>
        <v>47.146433227200006</v>
      </c>
      <c r="BS187" s="1">
        <f t="shared" si="203"/>
        <v>0</v>
      </c>
      <c r="BT187" s="1">
        <f t="shared" si="204"/>
        <v>112.9204222224667</v>
      </c>
      <c r="BU187" s="1">
        <f t="shared" si="205"/>
        <v>1763.2096605000002</v>
      </c>
      <c r="BV187" s="1">
        <f t="shared" si="206"/>
        <v>1313.5911970725</v>
      </c>
      <c r="BW187" s="1">
        <f t="shared" si="207"/>
        <v>2308.0414455945</v>
      </c>
      <c r="BX187" s="1">
        <f t="shared" si="208"/>
        <v>358.618914</v>
      </c>
      <c r="BY187" s="1">
        <f t="shared" si="209"/>
        <v>228.08162930400002</v>
      </c>
      <c r="BZ187" s="1">
        <f t="shared" si="210"/>
        <v>521.79051987</v>
      </c>
      <c r="CA187" s="1">
        <f t="shared" si="211"/>
        <v>2643.4379918184304</v>
      </c>
      <c r="CB187" s="1">
        <f t="shared" si="212"/>
        <v>2110.6291554025456</v>
      </c>
      <c r="CC187" s="1">
        <f t="shared" si="213"/>
        <v>4622.708869837831</v>
      </c>
      <c r="CD187" s="1">
        <f t="shared" si="236"/>
        <v>10244.815605000002</v>
      </c>
      <c r="CE187" s="1">
        <f t="shared" si="237"/>
        <v>8195.852484000001</v>
      </c>
      <c r="CF187" s="1">
        <f t="shared" si="238"/>
        <v>13625.604754650001</v>
      </c>
      <c r="CG187" t="s">
        <v>200</v>
      </c>
      <c r="CH187" s="19" t="s">
        <v>198</v>
      </c>
      <c r="CI187">
        <v>373095</v>
      </c>
      <c r="CJ187" s="102">
        <v>32.66521</v>
      </c>
      <c r="CK187" s="1">
        <v>210.2402</v>
      </c>
      <c r="CL187" s="1">
        <f t="shared" si="214"/>
        <v>242.90541</v>
      </c>
      <c r="CM187" s="1">
        <v>32.5324245934959</v>
      </c>
      <c r="CN187" s="1">
        <v>186.368304780876</v>
      </c>
      <c r="CO187" s="1">
        <f t="shared" si="215"/>
        <v>218.9007293743719</v>
      </c>
      <c r="CP187" s="1">
        <f t="shared" si="239"/>
        <v>49.8510234109596</v>
      </c>
      <c r="CQ187" s="1">
        <f t="shared" si="240"/>
        <v>24.631397942194965</v>
      </c>
      <c r="CR187" s="1">
        <f t="shared" si="241"/>
        <v>73.15767862819692</v>
      </c>
      <c r="CS187" s="1">
        <f t="shared" si="242"/>
        <v>14.976347492931692</v>
      </c>
      <c r="CT187" s="1">
        <f t="shared" si="243"/>
        <v>1.8385599960213672</v>
      </c>
      <c r="CU187" s="1">
        <f t="shared" si="244"/>
        <v>29.135083059714244</v>
      </c>
    </row>
    <row r="188" spans="1:99" ht="13.5" customHeight="1">
      <c r="A188" s="143" t="s">
        <v>347</v>
      </c>
      <c r="B188" s="134" t="s">
        <v>318</v>
      </c>
      <c r="C188" t="s">
        <v>351</v>
      </c>
      <c r="E188" s="140"/>
      <c r="V188" s="1">
        <f t="shared" si="185"/>
        <v>538.5639</v>
      </c>
      <c r="W188" s="1">
        <f t="shared" si="186"/>
        <v>430.85112000000004</v>
      </c>
      <c r="X188" s="1">
        <f t="shared" si="187"/>
        <v>716.289987</v>
      </c>
      <c r="Y188" s="1">
        <f t="shared" si="188"/>
        <v>142.79637119999998</v>
      </c>
      <c r="Z188" s="1">
        <f t="shared" si="189"/>
        <v>114.23709695999997</v>
      </c>
      <c r="AA188" s="1">
        <f t="shared" si="190"/>
        <v>189.91917369599997</v>
      </c>
      <c r="AB188" s="1">
        <f t="shared" si="219"/>
        <v>4061.2617452736</v>
      </c>
      <c r="AC188" s="1">
        <f t="shared" si="220"/>
        <v>3249.00939621888</v>
      </c>
      <c r="AD188" s="1">
        <f t="shared" si="221"/>
        <v>5401.478121213887</v>
      </c>
      <c r="AE188" s="1">
        <f t="shared" si="222"/>
        <v>2379.5519591592</v>
      </c>
      <c r="AF188" s="1">
        <f t="shared" si="223"/>
        <v>1903.6415673273602</v>
      </c>
      <c r="AG188" s="1">
        <f t="shared" si="224"/>
        <v>3164.8041056817356</v>
      </c>
      <c r="AP188" t="s">
        <v>201</v>
      </c>
      <c r="AQ188" s="19" t="s">
        <v>198</v>
      </c>
      <c r="AR188">
        <v>256459</v>
      </c>
      <c r="AS188" s="1">
        <f t="shared" si="248"/>
        <v>7693.7699999999995</v>
      </c>
      <c r="AT188" s="1">
        <f t="shared" si="227"/>
        <v>6155.016</v>
      </c>
      <c r="AU188" s="1">
        <f t="shared" si="228"/>
        <v>10232.7141</v>
      </c>
      <c r="AV188" s="1">
        <f t="shared" si="245"/>
        <v>2054.23659</v>
      </c>
      <c r="AW188" s="1">
        <f t="shared" si="246"/>
        <v>1538.754</v>
      </c>
      <c r="AX188" s="1">
        <f t="shared" si="247"/>
        <v>3592.99059</v>
      </c>
      <c r="AY188" s="1">
        <f t="shared" si="193"/>
        <v>375.92529597</v>
      </c>
      <c r="AZ188" s="1">
        <f t="shared" si="194"/>
        <v>219.75089101222318</v>
      </c>
      <c r="BA188" s="1">
        <f t="shared" si="195"/>
        <v>518.927278556988</v>
      </c>
      <c r="BB188" s="1">
        <f t="shared" si="196"/>
        <v>119.14572222000001</v>
      </c>
      <c r="BC188" s="1">
        <f t="shared" si="197"/>
        <v>0</v>
      </c>
      <c r="BD188" s="1">
        <f t="shared" si="198"/>
        <v>285.365919289122</v>
      </c>
      <c r="BE188" s="1">
        <f t="shared" si="229"/>
        <v>1211.9995881</v>
      </c>
      <c r="BF188" s="1">
        <f t="shared" si="230"/>
        <v>902.9396931345</v>
      </c>
      <c r="BG188" s="1">
        <f t="shared" si="231"/>
        <v>1586.5074608229</v>
      </c>
      <c r="BH188" s="1">
        <f t="shared" si="232"/>
        <v>246.5083908</v>
      </c>
      <c r="BI188" s="1">
        <f t="shared" si="233"/>
        <v>156.7793365488</v>
      </c>
      <c r="BJ188" s="1">
        <f t="shared" si="234"/>
        <v>358.669708614</v>
      </c>
      <c r="BL188" s="2">
        <v>0.67</v>
      </c>
      <c r="BM188" s="2">
        <v>0</v>
      </c>
      <c r="BO188" s="1">
        <f t="shared" si="199"/>
        <v>375.92529597</v>
      </c>
      <c r="BP188" s="1">
        <f t="shared" si="200"/>
        <v>219.75089101222318</v>
      </c>
      <c r="BQ188" s="1">
        <f t="shared" si="201"/>
        <v>518.927278556988</v>
      </c>
      <c r="BR188" s="1">
        <f t="shared" si="202"/>
        <v>55.28361511008</v>
      </c>
      <c r="BS188" s="1">
        <f t="shared" si="203"/>
        <v>0</v>
      </c>
      <c r="BT188" s="1">
        <f t="shared" si="204"/>
        <v>132.4097865501526</v>
      </c>
      <c r="BU188" s="1">
        <f t="shared" si="205"/>
        <v>1211.9995881</v>
      </c>
      <c r="BV188" s="1">
        <f t="shared" si="206"/>
        <v>902.9396931345</v>
      </c>
      <c r="BW188" s="1">
        <f t="shared" si="207"/>
        <v>1586.5074608229</v>
      </c>
      <c r="BX188" s="1">
        <f t="shared" si="208"/>
        <v>246.5083908</v>
      </c>
      <c r="BY188" s="1">
        <f t="shared" si="209"/>
        <v>156.7793365488</v>
      </c>
      <c r="BZ188" s="1">
        <f t="shared" si="210"/>
        <v>358.669708614</v>
      </c>
      <c r="CA188" s="1">
        <f t="shared" si="211"/>
        <v>1990.37448289008</v>
      </c>
      <c r="CB188" s="1">
        <f t="shared" si="212"/>
        <v>1538.754</v>
      </c>
      <c r="CC188" s="1">
        <f t="shared" si="213"/>
        <v>3440.0344572610306</v>
      </c>
      <c r="CD188" s="1">
        <f t="shared" si="236"/>
        <v>7487.576964</v>
      </c>
      <c r="CE188" s="1">
        <f t="shared" si="237"/>
        <v>5990.0615712</v>
      </c>
      <c r="CF188" s="1">
        <f t="shared" si="238"/>
        <v>9958.477362119998</v>
      </c>
      <c r="CG188" t="s">
        <v>201</v>
      </c>
      <c r="CH188" s="19" t="s">
        <v>198</v>
      </c>
      <c r="CI188">
        <v>256459</v>
      </c>
      <c r="CJ188" s="102">
        <v>43.32484</v>
      </c>
      <c r="CK188" s="1">
        <v>87.85551</v>
      </c>
      <c r="CL188" s="1">
        <f t="shared" si="214"/>
        <v>131.18035</v>
      </c>
      <c r="CM188" s="1">
        <v>41.0973417994859</v>
      </c>
      <c r="CN188" s="1">
        <v>66.8993032552827</v>
      </c>
      <c r="CO188" s="1">
        <f t="shared" si="215"/>
        <v>107.9966450547686</v>
      </c>
      <c r="CP188" s="1">
        <f t="shared" si="239"/>
        <v>35.59569421005173</v>
      </c>
      <c r="CQ188" s="1">
        <f t="shared" si="240"/>
        <v>18.84541456205712</v>
      </c>
      <c r="CR188" s="1">
        <f t="shared" si="241"/>
        <v>49.20327148695258</v>
      </c>
      <c r="CS188" s="1">
        <f t="shared" si="242"/>
        <v>12.02361439167376</v>
      </c>
      <c r="CT188" s="1">
        <f t="shared" si="243"/>
        <v>1.5382351071499185</v>
      </c>
      <c r="CU188" s="1">
        <f t="shared" si="244"/>
        <v>22.414575875704276</v>
      </c>
    </row>
    <row r="189" spans="1:99" ht="13.5" customHeight="1">
      <c r="A189" s="143" t="s">
        <v>348</v>
      </c>
      <c r="B189" s="134" t="s">
        <v>349</v>
      </c>
      <c r="C189" t="s">
        <v>352</v>
      </c>
      <c r="E189" s="140"/>
      <c r="V189" s="1">
        <f t="shared" si="185"/>
        <v>2266.4124</v>
      </c>
      <c r="W189" s="1">
        <f t="shared" si="186"/>
        <v>1813.12992</v>
      </c>
      <c r="X189" s="1">
        <f t="shared" si="187"/>
        <v>3014.328492</v>
      </c>
      <c r="Y189" s="1">
        <f t="shared" si="188"/>
        <v>1295.0928000000001</v>
      </c>
      <c r="Z189" s="1">
        <f t="shared" si="189"/>
        <v>1036.07424</v>
      </c>
      <c r="AA189" s="1">
        <f t="shared" si="190"/>
        <v>1722.473424</v>
      </c>
      <c r="AB189" s="1">
        <f t="shared" si="219"/>
        <v>17561.458368</v>
      </c>
      <c r="AC189" s="1">
        <f t="shared" si="220"/>
        <v>14049.166694399999</v>
      </c>
      <c r="AD189" s="1">
        <f t="shared" si="221"/>
        <v>23356.73962944</v>
      </c>
      <c r="AE189" s="1">
        <f t="shared" si="222"/>
        <v>10289.512296</v>
      </c>
      <c r="AF189" s="1">
        <f t="shared" si="223"/>
        <v>8231.6098368</v>
      </c>
      <c r="AG189" s="1">
        <f t="shared" si="224"/>
        <v>13685.05135368</v>
      </c>
      <c r="AP189" t="s">
        <v>203</v>
      </c>
      <c r="AQ189" s="19" t="s">
        <v>198</v>
      </c>
      <c r="AR189">
        <v>1079244</v>
      </c>
      <c r="AS189" s="1">
        <f t="shared" si="248"/>
        <v>32377.32</v>
      </c>
      <c r="AT189" s="1">
        <f t="shared" si="227"/>
        <v>25901.856</v>
      </c>
      <c r="AU189" s="1">
        <f t="shared" si="228"/>
        <v>43061.8356</v>
      </c>
      <c r="AV189" s="1">
        <f t="shared" si="245"/>
        <v>8644.74444</v>
      </c>
      <c r="AW189" s="1">
        <f t="shared" si="246"/>
        <v>6475.464</v>
      </c>
      <c r="AX189" s="1">
        <f t="shared" si="247"/>
        <v>15120.20844</v>
      </c>
      <c r="AY189" s="1">
        <f t="shared" si="193"/>
        <v>1581.98823252</v>
      </c>
      <c r="AZ189" s="1">
        <f t="shared" si="194"/>
        <v>924.7670412018912</v>
      </c>
      <c r="BA189" s="1">
        <f t="shared" si="195"/>
        <v>2183.7765561706083</v>
      </c>
      <c r="BB189" s="1">
        <f t="shared" si="196"/>
        <v>501.39517752000006</v>
      </c>
      <c r="BC189" s="1">
        <f t="shared" si="197"/>
        <v>0</v>
      </c>
      <c r="BD189" s="1">
        <f t="shared" si="198"/>
        <v>1200.891589678152</v>
      </c>
      <c r="BE189" s="1">
        <f t="shared" si="229"/>
        <v>5100.3992196</v>
      </c>
      <c r="BF189" s="1">
        <f t="shared" si="230"/>
        <v>3799.797418602</v>
      </c>
      <c r="BG189" s="1">
        <f t="shared" si="231"/>
        <v>6676.4225784564</v>
      </c>
      <c r="BH189" s="1">
        <f t="shared" si="232"/>
        <v>1037.3693328</v>
      </c>
      <c r="BI189" s="1">
        <f t="shared" si="233"/>
        <v>659.7668956608</v>
      </c>
      <c r="BJ189" s="1">
        <f t="shared" si="234"/>
        <v>1509.372379224</v>
      </c>
      <c r="BL189" s="2">
        <v>0</v>
      </c>
      <c r="BM189" s="2">
        <v>0</v>
      </c>
      <c r="BO189" s="1">
        <f t="shared" si="199"/>
        <v>1581.98823252</v>
      </c>
      <c r="BP189" s="1">
        <f t="shared" si="200"/>
        <v>924.7670412018912</v>
      </c>
      <c r="BQ189" s="1">
        <f t="shared" si="201"/>
        <v>2183.7765561706083</v>
      </c>
      <c r="BR189" s="1">
        <f t="shared" si="202"/>
        <v>501.39517752000006</v>
      </c>
      <c r="BS189" s="1">
        <f t="shared" si="203"/>
        <v>0</v>
      </c>
      <c r="BT189" s="1">
        <f t="shared" si="204"/>
        <v>1200.891589678152</v>
      </c>
      <c r="BU189" s="1">
        <f t="shared" si="205"/>
        <v>5100.3992196</v>
      </c>
      <c r="BV189" s="1">
        <f t="shared" si="206"/>
        <v>3799.797418602</v>
      </c>
      <c r="BW189" s="1">
        <f t="shared" si="207"/>
        <v>6676.4225784564</v>
      </c>
      <c r="BX189" s="1">
        <f t="shared" si="208"/>
        <v>1037.3693328</v>
      </c>
      <c r="BY189" s="1">
        <f t="shared" si="209"/>
        <v>659.7668956608</v>
      </c>
      <c r="BZ189" s="1">
        <f t="shared" si="210"/>
        <v>1509.372379224</v>
      </c>
      <c r="CA189" s="1">
        <f t="shared" si="211"/>
        <v>8644.74444</v>
      </c>
      <c r="CB189" s="1">
        <f t="shared" si="212"/>
        <v>6475.464</v>
      </c>
      <c r="CC189" s="1">
        <f t="shared" si="213"/>
        <v>15120.20844</v>
      </c>
      <c r="CD189" s="1">
        <f t="shared" si="236"/>
        <v>32377.32</v>
      </c>
      <c r="CE189" s="1">
        <f t="shared" si="237"/>
        <v>25901.856</v>
      </c>
      <c r="CF189" s="1">
        <f t="shared" si="238"/>
        <v>43061.8356</v>
      </c>
      <c r="CG189" t="s">
        <v>203</v>
      </c>
      <c r="CH189" s="19" t="s">
        <v>198</v>
      </c>
      <c r="CI189">
        <v>1079244</v>
      </c>
      <c r="CJ189" s="102">
        <v>214.0527</v>
      </c>
      <c r="CK189" s="1">
        <v>684.9833</v>
      </c>
      <c r="CL189" s="1">
        <f t="shared" si="214"/>
        <v>899.036</v>
      </c>
      <c r="CM189" s="1">
        <v>207.901038826979</v>
      </c>
      <c r="CN189" s="1">
        <v>599.042559317001</v>
      </c>
      <c r="CO189" s="1">
        <f t="shared" si="215"/>
        <v>806.9435981439799</v>
      </c>
      <c r="CP189" s="1">
        <f t="shared" si="239"/>
        <v>265.9686099482558</v>
      </c>
      <c r="CQ189" s="1">
        <f t="shared" si="240"/>
        <v>140.81165787612449</v>
      </c>
      <c r="CR189" s="1">
        <f t="shared" si="241"/>
        <v>367.64350331439726</v>
      </c>
      <c r="CS189" s="1">
        <f t="shared" si="242"/>
        <v>171.55620896541012</v>
      </c>
      <c r="CT189" s="1">
        <f t="shared" si="243"/>
        <v>24.369696663948194</v>
      </c>
      <c r="CU189" s="1">
        <f t="shared" si="244"/>
        <v>291.14525021034797</v>
      </c>
    </row>
    <row r="190" spans="1:99" ht="13.5" customHeight="1">
      <c r="A190" s="143"/>
      <c r="B190" s="134"/>
      <c r="E190" s="140"/>
      <c r="V190" s="1">
        <f t="shared" si="185"/>
        <v>234.91230000000002</v>
      </c>
      <c r="W190" s="1">
        <f t="shared" si="186"/>
        <v>187.92984</v>
      </c>
      <c r="X190" s="1">
        <f t="shared" si="187"/>
        <v>312.43335900000005</v>
      </c>
      <c r="Y190" s="1">
        <f t="shared" si="188"/>
        <v>38.659852799999996</v>
      </c>
      <c r="Z190" s="1">
        <f t="shared" si="189"/>
        <v>30.927882239999988</v>
      </c>
      <c r="AA190" s="1">
        <f t="shared" si="190"/>
        <v>51.41760422399999</v>
      </c>
      <c r="AB190" s="1">
        <f t="shared" si="219"/>
        <v>1755.4343793983999</v>
      </c>
      <c r="AC190" s="1">
        <f t="shared" si="220"/>
        <v>1404.34750351872</v>
      </c>
      <c r="AD190" s="1">
        <f t="shared" si="221"/>
        <v>2334.727724599872</v>
      </c>
      <c r="AE190" s="1">
        <f t="shared" si="222"/>
        <v>1028.5343764248</v>
      </c>
      <c r="AF190" s="1">
        <f t="shared" si="223"/>
        <v>822.82750113984</v>
      </c>
      <c r="AG190" s="1">
        <f t="shared" si="224"/>
        <v>1367.9507206449844</v>
      </c>
      <c r="AP190" t="s">
        <v>205</v>
      </c>
      <c r="AQ190" s="19" t="s">
        <v>198</v>
      </c>
      <c r="AR190">
        <v>111863</v>
      </c>
      <c r="AS190" s="1">
        <f t="shared" si="248"/>
        <v>3355.89</v>
      </c>
      <c r="AT190" s="1">
        <f t="shared" si="227"/>
        <v>2684.712</v>
      </c>
      <c r="AU190" s="1">
        <f t="shared" si="228"/>
        <v>4463.3337</v>
      </c>
      <c r="AV190" s="1">
        <f t="shared" si="245"/>
        <v>896.02263</v>
      </c>
      <c r="AW190" s="1">
        <f t="shared" si="246"/>
        <v>671.178</v>
      </c>
      <c r="AX190" s="1">
        <f t="shared" si="247"/>
        <v>1567.20063</v>
      </c>
      <c r="AY190" s="1">
        <f t="shared" si="193"/>
        <v>163.97214129</v>
      </c>
      <c r="AZ190" s="1">
        <f t="shared" si="194"/>
        <v>95.8515549124824</v>
      </c>
      <c r="BA190" s="1">
        <f t="shared" si="195"/>
        <v>226.34714383671601</v>
      </c>
      <c r="BB190" s="1">
        <f t="shared" si="196"/>
        <v>51.969312540000004</v>
      </c>
      <c r="BC190" s="1">
        <f t="shared" si="197"/>
        <v>0</v>
      </c>
      <c r="BD190" s="1">
        <f t="shared" si="198"/>
        <v>124.471700464554</v>
      </c>
      <c r="BE190" s="1">
        <f t="shared" si="229"/>
        <v>528.6533517</v>
      </c>
      <c r="BF190" s="1">
        <f t="shared" si="230"/>
        <v>393.84674701650005</v>
      </c>
      <c r="BG190" s="1">
        <f t="shared" si="231"/>
        <v>692.0072373753001</v>
      </c>
      <c r="BH190" s="1">
        <f t="shared" si="232"/>
        <v>107.5227156</v>
      </c>
      <c r="BI190" s="1">
        <f t="shared" si="233"/>
        <v>68.3844471216</v>
      </c>
      <c r="BJ190" s="1">
        <f t="shared" si="234"/>
        <v>156.445551198</v>
      </c>
      <c r="BL190" s="2">
        <v>0.89</v>
      </c>
      <c r="BM190" s="2">
        <v>0</v>
      </c>
      <c r="BO190" s="1">
        <f t="shared" si="199"/>
        <v>163.97214129</v>
      </c>
      <c r="BP190" s="1">
        <f t="shared" si="200"/>
        <v>95.8515549124824</v>
      </c>
      <c r="BQ190" s="1">
        <f t="shared" si="201"/>
        <v>226.34714383671601</v>
      </c>
      <c r="BR190" s="1">
        <f t="shared" si="202"/>
        <v>14.967162011520003</v>
      </c>
      <c r="BS190" s="1">
        <f t="shared" si="203"/>
        <v>0</v>
      </c>
      <c r="BT190" s="1">
        <f t="shared" si="204"/>
        <v>35.84784973379155</v>
      </c>
      <c r="BU190" s="1">
        <f t="shared" si="205"/>
        <v>528.6533517</v>
      </c>
      <c r="BV190" s="1">
        <f t="shared" si="206"/>
        <v>393.84674701650005</v>
      </c>
      <c r="BW190" s="1">
        <f t="shared" si="207"/>
        <v>692.0072373753001</v>
      </c>
      <c r="BX190" s="1">
        <f t="shared" si="208"/>
        <v>107.5227156</v>
      </c>
      <c r="BY190" s="1">
        <f t="shared" si="209"/>
        <v>68.3844471216</v>
      </c>
      <c r="BZ190" s="1">
        <f t="shared" si="210"/>
        <v>156.445551198</v>
      </c>
      <c r="CA190" s="1">
        <f t="shared" si="211"/>
        <v>859.02047947152</v>
      </c>
      <c r="CB190" s="1">
        <f t="shared" si="212"/>
        <v>671.178</v>
      </c>
      <c r="CC190" s="1">
        <f t="shared" si="213"/>
        <v>1478.5767792692377</v>
      </c>
      <c r="CD190" s="1">
        <f t="shared" si="236"/>
        <v>3236.4203159999997</v>
      </c>
      <c r="CE190" s="1">
        <f t="shared" si="237"/>
        <v>2589.1362528</v>
      </c>
      <c r="CF190" s="1">
        <f t="shared" si="238"/>
        <v>4304.4390202800005</v>
      </c>
      <c r="CG190" t="s">
        <v>205</v>
      </c>
      <c r="CH190" s="19" t="s">
        <v>198</v>
      </c>
      <c r="CI190">
        <v>111863</v>
      </c>
      <c r="CJ190" s="102">
        <v>4.262908</v>
      </c>
      <c r="CK190" s="1">
        <v>8.400695</v>
      </c>
      <c r="CL190" s="1">
        <f t="shared" si="214"/>
        <v>12.663603000000002</v>
      </c>
      <c r="CM190" s="1">
        <v>3.62090378313253</v>
      </c>
      <c r="CN190" s="1">
        <v>6.17906914100551</v>
      </c>
      <c r="CO190" s="1">
        <f t="shared" si="215"/>
        <v>9.79997292413804</v>
      </c>
      <c r="CP190" s="1">
        <f t="shared" si="239"/>
        <v>3.2300710757958977</v>
      </c>
      <c r="CQ190" s="1">
        <f t="shared" si="240"/>
        <v>1.7100952752620877</v>
      </c>
      <c r="CR190" s="1">
        <f t="shared" si="241"/>
        <v>4.464867664237291</v>
      </c>
      <c r="CS190" s="1">
        <f t="shared" si="242"/>
        <v>0.7070707265384617</v>
      </c>
      <c r="CT190" s="1">
        <f t="shared" si="243"/>
        <v>0.08710930359459541</v>
      </c>
      <c r="CU190" s="1">
        <f t="shared" si="244"/>
        <v>1.3703469989605226</v>
      </c>
    </row>
    <row r="191" spans="1:99" ht="13.5" customHeight="1">
      <c r="A191" s="143" t="s">
        <v>321</v>
      </c>
      <c r="B191" s="135">
        <v>0.269</v>
      </c>
      <c r="C191" t="s">
        <v>330</v>
      </c>
      <c r="D191" s="2" t="s">
        <v>335</v>
      </c>
      <c r="E191" s="140"/>
      <c r="V191" s="1">
        <f t="shared" si="185"/>
        <v>6202.7501365200005</v>
      </c>
      <c r="W191" s="1">
        <f t="shared" si="186"/>
        <v>4962.200109216002</v>
      </c>
      <c r="X191" s="1">
        <f t="shared" si="187"/>
        <v>8249.6576815716</v>
      </c>
      <c r="Y191" s="1">
        <f t="shared" si="188"/>
        <v>1723.7342976</v>
      </c>
      <c r="Z191" s="1">
        <f t="shared" si="189"/>
        <v>1378.9874380800002</v>
      </c>
      <c r="AA191" s="1">
        <f t="shared" si="190"/>
        <v>2292.5666158079994</v>
      </c>
      <c r="AB191" s="1">
        <f t="shared" si="219"/>
        <v>93505.7830505184</v>
      </c>
      <c r="AC191" s="1">
        <f t="shared" si="220"/>
        <v>74804.62644041472</v>
      </c>
      <c r="AD191" s="1">
        <f t="shared" si="221"/>
        <v>124362.69145718947</v>
      </c>
      <c r="AE191" s="1">
        <f t="shared" si="222"/>
        <v>54786.389847814804</v>
      </c>
      <c r="AF191" s="1">
        <f t="shared" si="223"/>
        <v>43829.111878251846</v>
      </c>
      <c r="AG191" s="1">
        <f t="shared" si="224"/>
        <v>72865.89849759369</v>
      </c>
      <c r="AP191" t="s">
        <v>206</v>
      </c>
      <c r="AQ191" s="19" t="s">
        <v>198</v>
      </c>
      <c r="AR191">
        <v>6412702</v>
      </c>
      <c r="AS191" s="1">
        <f t="shared" si="248"/>
        <v>192381.06</v>
      </c>
      <c r="AT191" s="1">
        <f t="shared" si="227"/>
        <v>153904.848</v>
      </c>
      <c r="AU191" s="1">
        <f t="shared" si="228"/>
        <v>255866.80980000002</v>
      </c>
      <c r="AV191" s="1">
        <f t="shared" si="245"/>
        <v>51365.74302</v>
      </c>
      <c r="AW191" s="1">
        <f t="shared" si="246"/>
        <v>38476.212</v>
      </c>
      <c r="AX191" s="1">
        <f t="shared" si="247"/>
        <v>89841.95502000001</v>
      </c>
      <c r="AY191" s="1">
        <f t="shared" si="193"/>
        <v>9399.93097266</v>
      </c>
      <c r="AZ191" s="1">
        <f t="shared" si="194"/>
        <v>5494.82364937813</v>
      </c>
      <c r="BA191" s="1">
        <f t="shared" si="195"/>
        <v>12975.664714659864</v>
      </c>
      <c r="BB191" s="1">
        <f t="shared" si="196"/>
        <v>2979.21309516</v>
      </c>
      <c r="BC191" s="1">
        <f t="shared" si="197"/>
        <v>0</v>
      </c>
      <c r="BD191" s="1">
        <f t="shared" si="198"/>
        <v>7135.513284217715</v>
      </c>
      <c r="BE191" s="1">
        <f t="shared" si="229"/>
        <v>30305.7883818</v>
      </c>
      <c r="BF191" s="1">
        <f t="shared" si="230"/>
        <v>22577.812344441</v>
      </c>
      <c r="BG191" s="1">
        <f t="shared" si="231"/>
        <v>39670.2769917762</v>
      </c>
      <c r="BH191" s="1">
        <f t="shared" si="232"/>
        <v>6163.8891624</v>
      </c>
      <c r="BI191" s="1">
        <f t="shared" si="233"/>
        <v>3920.2335072864</v>
      </c>
      <c r="BJ191" s="1">
        <f t="shared" si="234"/>
        <v>8968.458731292</v>
      </c>
      <c r="BL191" s="2">
        <v>0.97</v>
      </c>
      <c r="BM191" s="2">
        <v>0.93</v>
      </c>
      <c r="BO191" s="1">
        <f t="shared" si="199"/>
        <v>4329.608206007197</v>
      </c>
      <c r="BP191" s="1">
        <f t="shared" si="200"/>
        <v>2530.9157729035664</v>
      </c>
      <c r="BQ191" s="1">
        <f t="shared" si="201"/>
        <v>5976.591167572334</v>
      </c>
      <c r="BR191" s="1">
        <f t="shared" si="202"/>
        <v>667.3437333158399</v>
      </c>
      <c r="BS191" s="1">
        <f t="shared" si="203"/>
        <v>0</v>
      </c>
      <c r="BT191" s="1">
        <f t="shared" si="204"/>
        <v>1598.354975664768</v>
      </c>
      <c r="BU191" s="1">
        <f t="shared" si="205"/>
        <v>30305.7883818</v>
      </c>
      <c r="BV191" s="1">
        <f t="shared" si="206"/>
        <v>22577.812344441</v>
      </c>
      <c r="BW191" s="1">
        <f t="shared" si="207"/>
        <v>39670.2769917762</v>
      </c>
      <c r="BX191" s="1">
        <f t="shared" si="208"/>
        <v>6163.8891624</v>
      </c>
      <c r="BY191" s="1">
        <f t="shared" si="209"/>
        <v>3920.2335072864</v>
      </c>
      <c r="BZ191" s="1">
        <f t="shared" si="210"/>
        <v>8968.458731292</v>
      </c>
      <c r="CA191" s="1">
        <f t="shared" si="211"/>
        <v>43983.55089150304</v>
      </c>
      <c r="CB191" s="1">
        <f t="shared" si="212"/>
        <v>35512.304123525435</v>
      </c>
      <c r="CC191" s="1">
        <f t="shared" si="213"/>
        <v>77305.72316435953</v>
      </c>
      <c r="CD191" s="1">
        <f t="shared" si="236"/>
        <v>172392.667866</v>
      </c>
      <c r="CE191" s="1">
        <f t="shared" si="237"/>
        <v>137914.1342928</v>
      </c>
      <c r="CF191" s="1">
        <f t="shared" si="238"/>
        <v>229282.24826178</v>
      </c>
      <c r="CG191" t="s">
        <v>206</v>
      </c>
      <c r="CH191" s="19" t="s">
        <v>198</v>
      </c>
      <c r="CI191">
        <v>6412702</v>
      </c>
      <c r="CJ191" s="102">
        <v>588.0106</v>
      </c>
      <c r="CK191" s="1">
        <v>2001.852</v>
      </c>
      <c r="CL191" s="1">
        <f t="shared" si="214"/>
        <v>2589.8626</v>
      </c>
      <c r="CM191" s="1">
        <v>506.264496300716</v>
      </c>
      <c r="CN191" s="1">
        <v>1706.00229643572</v>
      </c>
      <c r="CO191" s="1">
        <f t="shared" si="215"/>
        <v>2212.266792736436</v>
      </c>
      <c r="CP191" s="1">
        <f t="shared" si="239"/>
        <v>408.47350928359435</v>
      </c>
      <c r="CQ191" s="1">
        <f t="shared" si="240"/>
        <v>196.28573332068248</v>
      </c>
      <c r="CR191" s="1">
        <f t="shared" si="241"/>
        <v>615.5030355014073</v>
      </c>
      <c r="CS191" s="1">
        <f t="shared" si="242"/>
        <v>126.16841669206912</v>
      </c>
      <c r="CT191" s="1">
        <f t="shared" si="243"/>
        <v>15.324679324406775</v>
      </c>
      <c r="CU191" s="1">
        <f t="shared" si="244"/>
        <v>248.31786760064804</v>
      </c>
    </row>
    <row r="192" spans="1:99" ht="13.5" customHeight="1">
      <c r="A192" s="143" t="s">
        <v>322</v>
      </c>
      <c r="B192" s="135">
        <v>0.219</v>
      </c>
      <c r="C192" t="s">
        <v>330</v>
      </c>
      <c r="D192" s="2" t="s">
        <v>335</v>
      </c>
      <c r="E192" s="140"/>
      <c r="V192" s="1">
        <f t="shared" si="185"/>
        <v>475.38960000000003</v>
      </c>
      <c r="W192" s="1">
        <f t="shared" si="186"/>
        <v>380.3116800000001</v>
      </c>
      <c r="X192" s="1">
        <f t="shared" si="187"/>
        <v>632.2681680000002</v>
      </c>
      <c r="Y192" s="1">
        <f t="shared" si="188"/>
        <v>167.33713920000002</v>
      </c>
      <c r="Z192" s="1">
        <f t="shared" si="189"/>
        <v>133.86971136</v>
      </c>
      <c r="AA192" s="1">
        <f t="shared" si="190"/>
        <v>222.55839513600003</v>
      </c>
      <c r="AB192" s="1">
        <f t="shared" si="219"/>
        <v>3612.8653387776</v>
      </c>
      <c r="AC192" s="1">
        <f t="shared" si="220"/>
        <v>2890.29227102208</v>
      </c>
      <c r="AD192" s="1">
        <f t="shared" si="221"/>
        <v>4805.110900574208</v>
      </c>
      <c r="AE192" s="1">
        <f t="shared" si="222"/>
        <v>2116.8300233472</v>
      </c>
      <c r="AF192" s="1">
        <f t="shared" si="223"/>
        <v>1693.4640186777601</v>
      </c>
      <c r="AG192" s="1">
        <f t="shared" si="224"/>
        <v>2815.3839310517765</v>
      </c>
      <c r="AP192" t="s">
        <v>207</v>
      </c>
      <c r="AQ192" s="19" t="s">
        <v>198</v>
      </c>
      <c r="AR192">
        <v>226376</v>
      </c>
      <c r="AS192" s="1">
        <f t="shared" si="248"/>
        <v>6791.28</v>
      </c>
      <c r="AT192" s="1">
        <f t="shared" si="227"/>
        <v>5433.024</v>
      </c>
      <c r="AU192" s="1">
        <f t="shared" si="228"/>
        <v>9032.4024</v>
      </c>
      <c r="AV192" s="1">
        <f t="shared" si="245"/>
        <v>1813.27176</v>
      </c>
      <c r="AW192" s="1">
        <f t="shared" si="246"/>
        <v>1358.256</v>
      </c>
      <c r="AX192" s="1">
        <f t="shared" si="247"/>
        <v>3171.52776</v>
      </c>
      <c r="AY192" s="1">
        <f t="shared" si="193"/>
        <v>331.82873208</v>
      </c>
      <c r="AZ192" s="1">
        <f t="shared" si="194"/>
        <v>193.9738036246848</v>
      </c>
      <c r="BA192" s="1">
        <f t="shared" si="195"/>
        <v>458.056381763232</v>
      </c>
      <c r="BB192" s="1">
        <f t="shared" si="196"/>
        <v>105.16976208000001</v>
      </c>
      <c r="BC192" s="1">
        <f t="shared" si="197"/>
        <v>0</v>
      </c>
      <c r="BD192" s="1">
        <f t="shared" si="198"/>
        <v>251.892097157808</v>
      </c>
      <c r="BE192" s="1">
        <f t="shared" si="229"/>
        <v>1069.8303384</v>
      </c>
      <c r="BF192" s="1">
        <f t="shared" si="230"/>
        <v>797.0236021080001</v>
      </c>
      <c r="BG192" s="1">
        <f t="shared" si="231"/>
        <v>1400.4079129656</v>
      </c>
      <c r="BH192" s="1">
        <f t="shared" si="232"/>
        <v>217.5926112</v>
      </c>
      <c r="BI192" s="1">
        <f t="shared" si="233"/>
        <v>138.3889007232</v>
      </c>
      <c r="BJ192" s="1">
        <f t="shared" si="234"/>
        <v>316.59724929600003</v>
      </c>
      <c r="BL192" s="2">
        <v>0.48</v>
      </c>
      <c r="BM192" s="2">
        <v>0</v>
      </c>
      <c r="BO192" s="1">
        <f t="shared" si="199"/>
        <v>331.82873208</v>
      </c>
      <c r="BP192" s="1">
        <f t="shared" si="200"/>
        <v>193.9738036246848</v>
      </c>
      <c r="BQ192" s="1">
        <f t="shared" si="201"/>
        <v>458.056381763232</v>
      </c>
      <c r="BR192" s="1">
        <f t="shared" si="202"/>
        <v>64.78457344128</v>
      </c>
      <c r="BS192" s="1">
        <f t="shared" si="203"/>
        <v>0</v>
      </c>
      <c r="BT192" s="1">
        <f t="shared" si="204"/>
        <v>155.16553184920974</v>
      </c>
      <c r="BU192" s="1">
        <f t="shared" si="205"/>
        <v>1069.8303384</v>
      </c>
      <c r="BV192" s="1">
        <f t="shared" si="206"/>
        <v>797.0236021080001</v>
      </c>
      <c r="BW192" s="1">
        <f t="shared" si="207"/>
        <v>1400.4079129656</v>
      </c>
      <c r="BX192" s="1">
        <f t="shared" si="208"/>
        <v>217.5926112</v>
      </c>
      <c r="BY192" s="1">
        <f t="shared" si="209"/>
        <v>138.3889007232</v>
      </c>
      <c r="BZ192" s="1">
        <f t="shared" si="210"/>
        <v>316.59724929600003</v>
      </c>
      <c r="CA192" s="1">
        <f t="shared" si="211"/>
        <v>1772.8865713612802</v>
      </c>
      <c r="CB192" s="1">
        <f t="shared" si="212"/>
        <v>1358.256</v>
      </c>
      <c r="CC192" s="1">
        <f t="shared" si="213"/>
        <v>3074.8011946914016</v>
      </c>
      <c r="CD192" s="1">
        <f t="shared" si="236"/>
        <v>6660.887424</v>
      </c>
      <c r="CE192" s="1">
        <f t="shared" si="237"/>
        <v>5328.7099392</v>
      </c>
      <c r="CF192" s="1">
        <f t="shared" si="238"/>
        <v>8858.98027392</v>
      </c>
      <c r="CG192" t="s">
        <v>207</v>
      </c>
      <c r="CH192" s="19" t="s">
        <v>198</v>
      </c>
      <c r="CI192">
        <v>226376</v>
      </c>
      <c r="CJ192" s="102">
        <v>26.4946</v>
      </c>
      <c r="CK192" s="1">
        <v>72.43108</v>
      </c>
      <c r="CL192" s="1">
        <f t="shared" si="214"/>
        <v>98.92568</v>
      </c>
      <c r="CM192" s="1">
        <v>25.5187399631676</v>
      </c>
      <c r="CN192" s="1">
        <v>54.0623911239193</v>
      </c>
      <c r="CO192" s="1">
        <f t="shared" si="215"/>
        <v>79.5811310870869</v>
      </c>
      <c r="CP192" s="1">
        <f t="shared" si="239"/>
        <v>26.229940806303844</v>
      </c>
      <c r="CQ192" s="1">
        <f t="shared" si="240"/>
        <v>13.886907374696664</v>
      </c>
      <c r="CR192" s="1">
        <f t="shared" si="241"/>
        <v>36.25716332327679</v>
      </c>
      <c r="CS192" s="1">
        <f t="shared" si="242"/>
        <v>11.348549696518932</v>
      </c>
      <c r="CT192" s="1">
        <f t="shared" si="243"/>
        <v>1.4978337765795326</v>
      </c>
      <c r="CU192" s="1">
        <f t="shared" si="244"/>
        <v>20.53174499087136</v>
      </c>
    </row>
    <row r="193" spans="1:99" ht="13.5" customHeight="1">
      <c r="A193" s="143"/>
      <c r="B193" s="134"/>
      <c r="E193" s="140"/>
      <c r="V193" s="1">
        <f t="shared" si="185"/>
        <v>1669.8423</v>
      </c>
      <c r="W193" s="1">
        <f t="shared" si="186"/>
        <v>1335.8738400000002</v>
      </c>
      <c r="X193" s="1">
        <f t="shared" si="187"/>
        <v>2220.8902590000002</v>
      </c>
      <c r="Y193" s="1">
        <f t="shared" si="188"/>
        <v>954.1956</v>
      </c>
      <c r="Z193" s="1">
        <f t="shared" si="189"/>
        <v>763.35648</v>
      </c>
      <c r="AA193" s="1">
        <f t="shared" si="190"/>
        <v>1269.080148</v>
      </c>
      <c r="AB193" s="1">
        <f t="shared" si="219"/>
        <v>12938.892335999999</v>
      </c>
      <c r="AC193" s="1">
        <f t="shared" si="220"/>
        <v>10351.1138688</v>
      </c>
      <c r="AD193" s="1">
        <f t="shared" si="221"/>
        <v>17208.72680688</v>
      </c>
      <c r="AE193" s="1">
        <f t="shared" si="222"/>
        <v>7581.084042</v>
      </c>
      <c r="AF193" s="1">
        <f t="shared" si="223"/>
        <v>6064.867233600001</v>
      </c>
      <c r="AG193" s="1">
        <f t="shared" si="224"/>
        <v>10082.84177586</v>
      </c>
      <c r="AP193" t="s">
        <v>208</v>
      </c>
      <c r="AQ193" s="19" t="s">
        <v>198</v>
      </c>
      <c r="AR193">
        <v>795163</v>
      </c>
      <c r="AS193" s="1">
        <f t="shared" si="248"/>
        <v>23854.89</v>
      </c>
      <c r="AT193" s="1">
        <f t="shared" si="227"/>
        <v>19083.912</v>
      </c>
      <c r="AU193" s="1">
        <f t="shared" si="228"/>
        <v>31727.0037</v>
      </c>
      <c r="AV193" s="1">
        <f t="shared" si="245"/>
        <v>6369.255630000001</v>
      </c>
      <c r="AW193" s="1">
        <f t="shared" si="246"/>
        <v>4770.978</v>
      </c>
      <c r="AX193" s="1">
        <f t="shared" si="247"/>
        <v>11140.23363</v>
      </c>
      <c r="AY193" s="1">
        <f t="shared" si="193"/>
        <v>1165.57378029</v>
      </c>
      <c r="AZ193" s="1">
        <f t="shared" si="194"/>
        <v>681.3478090063224</v>
      </c>
      <c r="BA193" s="1">
        <f t="shared" si="195"/>
        <v>1608.9580463123161</v>
      </c>
      <c r="BB193" s="1">
        <f t="shared" si="196"/>
        <v>369.41682654000005</v>
      </c>
      <c r="BC193" s="1">
        <f t="shared" si="197"/>
        <v>0</v>
      </c>
      <c r="BD193" s="1">
        <f t="shared" si="198"/>
        <v>884.790241245954</v>
      </c>
      <c r="BE193" s="1">
        <f t="shared" si="229"/>
        <v>3757.8608217</v>
      </c>
      <c r="BF193" s="1">
        <f t="shared" si="230"/>
        <v>2799.6063121665</v>
      </c>
      <c r="BG193" s="1">
        <f t="shared" si="231"/>
        <v>4919.0398156053</v>
      </c>
      <c r="BH193" s="1">
        <f t="shared" si="232"/>
        <v>764.3106756000001</v>
      </c>
      <c r="BI193" s="1">
        <f t="shared" si="233"/>
        <v>486.10158968160005</v>
      </c>
      <c r="BJ193" s="1">
        <f t="shared" si="234"/>
        <v>1112.0720329980002</v>
      </c>
      <c r="BL193" s="2">
        <v>0</v>
      </c>
      <c r="BM193" s="2">
        <v>0</v>
      </c>
      <c r="BO193" s="1">
        <f t="shared" si="199"/>
        <v>1165.57378029</v>
      </c>
      <c r="BP193" s="1">
        <f t="shared" si="200"/>
        <v>681.3478090063224</v>
      </c>
      <c r="BQ193" s="1">
        <f t="shared" si="201"/>
        <v>1608.9580463123161</v>
      </c>
      <c r="BR193" s="1">
        <f t="shared" si="202"/>
        <v>369.41682654000005</v>
      </c>
      <c r="BS193" s="1">
        <f t="shared" si="203"/>
        <v>0</v>
      </c>
      <c r="BT193" s="1">
        <f t="shared" si="204"/>
        <v>884.790241245954</v>
      </c>
      <c r="BU193" s="1">
        <f t="shared" si="205"/>
        <v>3757.8608217</v>
      </c>
      <c r="BV193" s="1">
        <f t="shared" si="206"/>
        <v>2799.6063121665</v>
      </c>
      <c r="BW193" s="1">
        <f t="shared" si="207"/>
        <v>4919.0398156053</v>
      </c>
      <c r="BX193" s="1">
        <f t="shared" si="208"/>
        <v>764.3106756000001</v>
      </c>
      <c r="BY193" s="1">
        <f t="shared" si="209"/>
        <v>486.10158968160005</v>
      </c>
      <c r="BZ193" s="1">
        <f t="shared" si="210"/>
        <v>1112.0720329980002</v>
      </c>
      <c r="CA193" s="1">
        <f t="shared" si="211"/>
        <v>6369.255630000001</v>
      </c>
      <c r="CB193" s="1">
        <f t="shared" si="212"/>
        <v>4770.978</v>
      </c>
      <c r="CC193" s="1">
        <f t="shared" si="213"/>
        <v>11140.23363</v>
      </c>
      <c r="CD193" s="1">
        <f t="shared" si="236"/>
        <v>23854.89</v>
      </c>
      <c r="CE193" s="1">
        <f t="shared" si="237"/>
        <v>19083.912</v>
      </c>
      <c r="CF193" s="1">
        <f t="shared" si="238"/>
        <v>31727.0037</v>
      </c>
      <c r="CG193" t="s">
        <v>208</v>
      </c>
      <c r="CH193" s="19" t="s">
        <v>198</v>
      </c>
      <c r="CI193">
        <v>795163</v>
      </c>
      <c r="CJ193" s="102">
        <v>251.2341</v>
      </c>
      <c r="CK193" s="1">
        <v>1245.846</v>
      </c>
      <c r="CL193" s="1">
        <f t="shared" si="214"/>
        <v>1497.0801000000001</v>
      </c>
      <c r="CM193" s="1">
        <v>250.878345114698</v>
      </c>
      <c r="CN193" s="1">
        <v>1196.75230602337</v>
      </c>
      <c r="CO193" s="1">
        <f t="shared" si="215"/>
        <v>1447.630651138068</v>
      </c>
      <c r="CP193" s="1">
        <f t="shared" si="239"/>
        <v>477.13906261510726</v>
      </c>
      <c r="CQ193" s="1">
        <f t="shared" si="240"/>
        <v>252.61154862359285</v>
      </c>
      <c r="CR193" s="1">
        <f t="shared" si="241"/>
        <v>659.5405246585038</v>
      </c>
      <c r="CS193" s="1">
        <f t="shared" si="242"/>
        <v>307.76627643195326</v>
      </c>
      <c r="CT193" s="1">
        <f t="shared" si="243"/>
        <v>43.71844566436966</v>
      </c>
      <c r="CU193" s="1">
        <f t="shared" si="244"/>
        <v>522.3051389306149</v>
      </c>
    </row>
    <row r="194" spans="1:99" ht="13.5" customHeight="1">
      <c r="A194" s="143" t="s">
        <v>323</v>
      </c>
      <c r="B194" s="135">
        <v>0.159</v>
      </c>
      <c r="C194" t="s">
        <v>330</v>
      </c>
      <c r="D194" s="2" t="s">
        <v>336</v>
      </c>
      <c r="E194" s="140"/>
      <c r="V194" s="1">
        <f t="shared" si="185"/>
        <v>1249.7331</v>
      </c>
      <c r="W194" s="1">
        <f t="shared" si="186"/>
        <v>999.78648</v>
      </c>
      <c r="X194" s="1">
        <f t="shared" si="187"/>
        <v>1662.145023</v>
      </c>
      <c r="Y194" s="1">
        <f t="shared" si="188"/>
        <v>165.67890239999997</v>
      </c>
      <c r="Z194" s="1">
        <f t="shared" si="189"/>
        <v>132.54312191999998</v>
      </c>
      <c r="AA194" s="1">
        <f t="shared" si="190"/>
        <v>220.3529401919999</v>
      </c>
      <c r="AB194" s="1">
        <f t="shared" si="219"/>
        <v>9311.7941782272</v>
      </c>
      <c r="AC194" s="1">
        <f t="shared" si="220"/>
        <v>7449.43534258176</v>
      </c>
      <c r="AD194" s="1">
        <f t="shared" si="221"/>
        <v>12384.686257042176</v>
      </c>
      <c r="AE194" s="1">
        <f t="shared" si="222"/>
        <v>5455.9148042784</v>
      </c>
      <c r="AF194" s="1">
        <f t="shared" si="223"/>
        <v>4364.73184342272</v>
      </c>
      <c r="AG194" s="1">
        <f t="shared" si="224"/>
        <v>7256.366689690272</v>
      </c>
      <c r="AP194" t="s">
        <v>209</v>
      </c>
      <c r="AQ194" s="19" t="s">
        <v>198</v>
      </c>
      <c r="AR194">
        <v>595111</v>
      </c>
      <c r="AS194" s="1">
        <f t="shared" si="248"/>
        <v>17853.329999999998</v>
      </c>
      <c r="AT194" s="1">
        <f t="shared" si="227"/>
        <v>14282.663999999999</v>
      </c>
      <c r="AU194" s="1">
        <f t="shared" si="228"/>
        <v>23744.9289</v>
      </c>
      <c r="AV194" s="1">
        <f t="shared" si="245"/>
        <v>4766.83911</v>
      </c>
      <c r="AW194" s="1">
        <f t="shared" si="246"/>
        <v>3570.6659999999997</v>
      </c>
      <c r="AX194" s="1">
        <f t="shared" si="247"/>
        <v>8337.50511</v>
      </c>
      <c r="AY194" s="1">
        <f t="shared" si="193"/>
        <v>872.33155713</v>
      </c>
      <c r="AZ194" s="1">
        <f t="shared" si="194"/>
        <v>509.93013503591277</v>
      </c>
      <c r="BA194" s="1">
        <f t="shared" si="195"/>
        <v>1204.166481462252</v>
      </c>
      <c r="BB194" s="1">
        <f t="shared" si="196"/>
        <v>276.47666838000004</v>
      </c>
      <c r="BC194" s="1">
        <f t="shared" si="197"/>
        <v>0</v>
      </c>
      <c r="BD194" s="1">
        <f t="shared" si="198"/>
        <v>662.189268436938</v>
      </c>
      <c r="BE194" s="1">
        <f t="shared" si="229"/>
        <v>2812.4350748999996</v>
      </c>
      <c r="BF194" s="1">
        <f t="shared" si="230"/>
        <v>2095.2641308004995</v>
      </c>
      <c r="BG194" s="1">
        <f t="shared" si="231"/>
        <v>3681.4775130440994</v>
      </c>
      <c r="BH194" s="1">
        <f t="shared" si="232"/>
        <v>572.0206932</v>
      </c>
      <c r="BI194" s="1">
        <f t="shared" si="233"/>
        <v>363.8051608752</v>
      </c>
      <c r="BJ194" s="1">
        <f t="shared" si="234"/>
        <v>832.290108606</v>
      </c>
      <c r="BL194" s="2">
        <v>0.96</v>
      </c>
      <c r="BM194" s="2">
        <v>0</v>
      </c>
      <c r="BO194" s="1">
        <f t="shared" si="199"/>
        <v>872.33155713</v>
      </c>
      <c r="BP194" s="1">
        <f t="shared" si="200"/>
        <v>509.93013503591277</v>
      </c>
      <c r="BQ194" s="1">
        <f t="shared" si="201"/>
        <v>1204.166481462252</v>
      </c>
      <c r="BR194" s="1">
        <f t="shared" si="202"/>
        <v>64.14258706416001</v>
      </c>
      <c r="BS194" s="1">
        <f t="shared" si="203"/>
        <v>0</v>
      </c>
      <c r="BT194" s="1">
        <f t="shared" si="204"/>
        <v>153.6279102773696</v>
      </c>
      <c r="BU194" s="1">
        <f t="shared" si="205"/>
        <v>2812.4350748999996</v>
      </c>
      <c r="BV194" s="1">
        <f t="shared" si="206"/>
        <v>2095.2641308004995</v>
      </c>
      <c r="BW194" s="1">
        <f t="shared" si="207"/>
        <v>3681.4775130440994</v>
      </c>
      <c r="BX194" s="1">
        <f t="shared" si="208"/>
        <v>572.0206932</v>
      </c>
      <c r="BY194" s="1">
        <f t="shared" si="209"/>
        <v>363.8051608752</v>
      </c>
      <c r="BZ194" s="1">
        <f t="shared" si="210"/>
        <v>832.290108606</v>
      </c>
      <c r="CA194" s="1">
        <f t="shared" si="211"/>
        <v>4554.50502868416</v>
      </c>
      <c r="CB194" s="1">
        <f t="shared" si="212"/>
        <v>3570.6659999999997</v>
      </c>
      <c r="CC194" s="1">
        <f t="shared" si="213"/>
        <v>7828.943751840432</v>
      </c>
      <c r="CD194" s="1">
        <f t="shared" si="236"/>
        <v>17167.762128</v>
      </c>
      <c r="CE194" s="1">
        <f t="shared" si="237"/>
        <v>13734.2097024</v>
      </c>
      <c r="CF194" s="1">
        <f t="shared" si="238"/>
        <v>22833.12363024</v>
      </c>
      <c r="CG194" t="s">
        <v>209</v>
      </c>
      <c r="CH194" s="19" t="s">
        <v>198</v>
      </c>
      <c r="CI194">
        <v>595111</v>
      </c>
      <c r="CJ194" s="102">
        <v>160.2933</v>
      </c>
      <c r="CK194" s="1">
        <v>592.7523</v>
      </c>
      <c r="CL194" s="1">
        <f t="shared" si="214"/>
        <v>753.0455999999999</v>
      </c>
      <c r="CM194" s="1">
        <v>136.46056470346</v>
      </c>
      <c r="CN194" s="1">
        <v>462.380493698902</v>
      </c>
      <c r="CO194" s="1">
        <f t="shared" si="215"/>
        <v>598.841058402362</v>
      </c>
      <c r="CP194" s="1">
        <f t="shared" si="239"/>
        <v>197.37801284941852</v>
      </c>
      <c r="CQ194" s="1">
        <f t="shared" si="240"/>
        <v>104.49776469121217</v>
      </c>
      <c r="CR194" s="1">
        <f t="shared" si="241"/>
        <v>272.8319862081161</v>
      </c>
      <c r="CS194" s="1">
        <f t="shared" si="242"/>
        <v>35.30051191575827</v>
      </c>
      <c r="CT194" s="1">
        <f t="shared" si="243"/>
        <v>4.29534449363795</v>
      </c>
      <c r="CU194" s="1">
        <f t="shared" si="244"/>
        <v>69.34010484661448</v>
      </c>
    </row>
    <row r="195" spans="1:99" ht="13.5" customHeight="1">
      <c r="A195" s="143" t="s">
        <v>324</v>
      </c>
      <c r="B195" s="135">
        <v>0.088</v>
      </c>
      <c r="C195" t="s">
        <v>330</v>
      </c>
      <c r="D195" s="2" t="s">
        <v>336</v>
      </c>
      <c r="E195" s="140"/>
      <c r="V195" s="1">
        <f t="shared" si="185"/>
        <v>1828.0899000000002</v>
      </c>
      <c r="W195" s="1">
        <f t="shared" si="186"/>
        <v>1462.4719200000002</v>
      </c>
      <c r="X195" s="1">
        <f t="shared" si="187"/>
        <v>2431.3595670000004</v>
      </c>
      <c r="Y195" s="1">
        <f t="shared" si="188"/>
        <v>267.4234367999999</v>
      </c>
      <c r="Z195" s="1">
        <f t="shared" si="189"/>
        <v>213.93874943999992</v>
      </c>
      <c r="AA195" s="1">
        <f t="shared" si="190"/>
        <v>355.67317094400005</v>
      </c>
      <c r="AB195" s="1">
        <f t="shared" si="219"/>
        <v>13638.1439997504</v>
      </c>
      <c r="AC195" s="1">
        <f t="shared" si="220"/>
        <v>10910.51519980032</v>
      </c>
      <c r="AD195" s="1">
        <f t="shared" si="221"/>
        <v>18138.731519668032</v>
      </c>
      <c r="AE195" s="1">
        <f t="shared" si="222"/>
        <v>7990.785698968801</v>
      </c>
      <c r="AF195" s="1">
        <f t="shared" si="223"/>
        <v>6392.628559175041</v>
      </c>
      <c r="AG195" s="1">
        <f t="shared" si="224"/>
        <v>10627.744979628505</v>
      </c>
      <c r="AP195" t="s">
        <v>210</v>
      </c>
      <c r="AQ195" s="19" t="s">
        <v>198</v>
      </c>
      <c r="AR195">
        <v>870519</v>
      </c>
      <c r="AS195" s="1">
        <f t="shared" si="248"/>
        <v>26115.57</v>
      </c>
      <c r="AT195" s="1">
        <f t="shared" si="227"/>
        <v>20892.456000000002</v>
      </c>
      <c r="AU195" s="1">
        <f t="shared" si="228"/>
        <v>34733.7081</v>
      </c>
      <c r="AV195" s="1">
        <f t="shared" si="245"/>
        <v>6972.857190000001</v>
      </c>
      <c r="AW195" s="1">
        <f t="shared" si="246"/>
        <v>5223.1140000000005</v>
      </c>
      <c r="AX195" s="1">
        <f t="shared" si="247"/>
        <v>12195.97119</v>
      </c>
      <c r="AY195" s="1">
        <f t="shared" si="193"/>
        <v>1276.0328657700002</v>
      </c>
      <c r="AZ195" s="1">
        <f t="shared" si="194"/>
        <v>745.9177720145112</v>
      </c>
      <c r="BA195" s="1">
        <f t="shared" si="195"/>
        <v>1761.4357679089082</v>
      </c>
      <c r="BB195" s="1">
        <f t="shared" si="196"/>
        <v>404.42571702000004</v>
      </c>
      <c r="BC195" s="1">
        <f t="shared" si="197"/>
        <v>0</v>
      </c>
      <c r="BD195" s="1">
        <f t="shared" si="198"/>
        <v>968.640034834602</v>
      </c>
      <c r="BE195" s="1">
        <f t="shared" si="229"/>
        <v>4113.985742100001</v>
      </c>
      <c r="BF195" s="1">
        <f t="shared" si="230"/>
        <v>3064.9193778645003</v>
      </c>
      <c r="BG195" s="1">
        <f t="shared" si="231"/>
        <v>5385.2073364089</v>
      </c>
      <c r="BH195" s="1">
        <f t="shared" si="232"/>
        <v>836.7428628</v>
      </c>
      <c r="BI195" s="1">
        <f t="shared" si="233"/>
        <v>532.1684607408</v>
      </c>
      <c r="BJ195" s="1">
        <f t="shared" si="234"/>
        <v>1217.4608653740002</v>
      </c>
      <c r="BL195" s="2">
        <v>0.93</v>
      </c>
      <c r="BM195" s="2">
        <v>0</v>
      </c>
      <c r="BO195" s="1">
        <f t="shared" si="199"/>
        <v>1276.0328657700002</v>
      </c>
      <c r="BP195" s="1">
        <f t="shared" si="200"/>
        <v>745.9177720145112</v>
      </c>
      <c r="BQ195" s="1">
        <f t="shared" si="201"/>
        <v>1761.4357679089082</v>
      </c>
      <c r="BR195" s="1">
        <f t="shared" si="202"/>
        <v>103.53298355711996</v>
      </c>
      <c r="BS195" s="1">
        <f t="shared" si="203"/>
        <v>0</v>
      </c>
      <c r="BT195" s="1">
        <f t="shared" si="204"/>
        <v>247.97184891765812</v>
      </c>
      <c r="BU195" s="1">
        <f t="shared" si="205"/>
        <v>4113.985742100001</v>
      </c>
      <c r="BV195" s="1">
        <f t="shared" si="206"/>
        <v>3064.9193778645003</v>
      </c>
      <c r="BW195" s="1">
        <f t="shared" si="207"/>
        <v>5385.2073364089</v>
      </c>
      <c r="BX195" s="1">
        <f t="shared" si="208"/>
        <v>836.7428628</v>
      </c>
      <c r="BY195" s="1">
        <f t="shared" si="209"/>
        <v>532.1684607408</v>
      </c>
      <c r="BZ195" s="1">
        <f t="shared" si="210"/>
        <v>1217.4608653740002</v>
      </c>
      <c r="CA195" s="1">
        <f t="shared" si="211"/>
        <v>6671.964456537121</v>
      </c>
      <c r="CB195" s="1">
        <f t="shared" si="212"/>
        <v>5223.1140000000005</v>
      </c>
      <c r="CC195" s="1">
        <f t="shared" si="213"/>
        <v>11475.303004083056</v>
      </c>
      <c r="CD195" s="1">
        <f t="shared" si="236"/>
        <v>25144.070796</v>
      </c>
      <c r="CE195" s="1">
        <f t="shared" si="237"/>
        <v>20115.2566368</v>
      </c>
      <c r="CF195" s="1">
        <f t="shared" si="238"/>
        <v>33441.61415868</v>
      </c>
      <c r="CG195" t="s">
        <v>210</v>
      </c>
      <c r="CH195" s="19" t="s">
        <v>198</v>
      </c>
      <c r="CI195">
        <v>870519</v>
      </c>
      <c r="CJ195" s="102">
        <v>385.8206</v>
      </c>
      <c r="CK195" s="1">
        <v>1633.599</v>
      </c>
      <c r="CL195" s="1">
        <f t="shared" si="214"/>
        <v>2019.4196</v>
      </c>
      <c r="CM195" s="1">
        <v>382.942535018649</v>
      </c>
      <c r="CN195" s="1">
        <v>1713.95974537211</v>
      </c>
      <c r="CO195" s="1">
        <f t="shared" si="215"/>
        <v>2096.902280390759</v>
      </c>
      <c r="CP195" s="1">
        <f t="shared" si="239"/>
        <v>691.1389916167942</v>
      </c>
      <c r="CQ195" s="1">
        <f t="shared" si="240"/>
        <v>365.90944792818743</v>
      </c>
      <c r="CR195" s="1">
        <f t="shared" si="241"/>
        <v>955.3486789460298</v>
      </c>
      <c r="CS195" s="1">
        <f t="shared" si="242"/>
        <v>135.56865549305607</v>
      </c>
      <c r="CT195" s="1">
        <f t="shared" si="243"/>
        <v>16.58419793675847</v>
      </c>
      <c r="CU195" s="1">
        <f t="shared" si="244"/>
        <v>264.747510743869</v>
      </c>
    </row>
    <row r="196" spans="1:99" ht="13.5" customHeight="1">
      <c r="A196" s="143"/>
      <c r="B196" s="134"/>
      <c r="E196" s="140"/>
      <c r="V196" s="1">
        <f t="shared" si="185"/>
        <v>1062.2724</v>
      </c>
      <c r="W196" s="1">
        <f t="shared" si="186"/>
        <v>849.8179200000002</v>
      </c>
      <c r="X196" s="1">
        <f t="shared" si="187"/>
        <v>1412.8222920000003</v>
      </c>
      <c r="Y196" s="1">
        <f t="shared" si="188"/>
        <v>325.3588608</v>
      </c>
      <c r="Z196" s="1">
        <f t="shared" si="189"/>
        <v>260.28708864</v>
      </c>
      <c r="AA196" s="1">
        <f t="shared" si="190"/>
        <v>432.72728486400007</v>
      </c>
      <c r="AB196" s="1">
        <f t="shared" si="219"/>
        <v>8040.1321972224</v>
      </c>
      <c r="AC196" s="1">
        <f t="shared" si="220"/>
        <v>6432.105757777921</v>
      </c>
      <c r="AD196" s="1">
        <f t="shared" si="221"/>
        <v>10693.375822305794</v>
      </c>
      <c r="AE196" s="1">
        <f t="shared" si="222"/>
        <v>4710.8296686528</v>
      </c>
      <c r="AF196" s="1">
        <f t="shared" si="223"/>
        <v>3768.663734922241</v>
      </c>
      <c r="AG196" s="1">
        <f t="shared" si="224"/>
        <v>6265.403459308225</v>
      </c>
      <c r="AP196" t="s">
        <v>211</v>
      </c>
      <c r="AQ196" s="19" t="s">
        <v>198</v>
      </c>
      <c r="AR196">
        <v>505844</v>
      </c>
      <c r="AS196" s="1">
        <f t="shared" si="248"/>
        <v>15175.32</v>
      </c>
      <c r="AT196" s="1">
        <f t="shared" si="227"/>
        <v>12140.256000000001</v>
      </c>
      <c r="AU196" s="1">
        <f t="shared" si="228"/>
        <v>20183.175600000002</v>
      </c>
      <c r="AV196" s="1">
        <f t="shared" si="245"/>
        <v>4051.81044</v>
      </c>
      <c r="AW196" s="1">
        <f t="shared" si="246"/>
        <v>3035.0640000000003</v>
      </c>
      <c r="AX196" s="1">
        <f t="shared" si="247"/>
        <v>7086.8744400000005</v>
      </c>
      <c r="AY196" s="1">
        <f t="shared" si="193"/>
        <v>741.48131052</v>
      </c>
      <c r="AZ196" s="1">
        <f t="shared" si="194"/>
        <v>433.44031487757115</v>
      </c>
      <c r="BA196" s="1">
        <f t="shared" si="195"/>
        <v>1023.540801041808</v>
      </c>
      <c r="BB196" s="1">
        <f t="shared" si="196"/>
        <v>235.00500552000003</v>
      </c>
      <c r="BC196" s="1">
        <f t="shared" si="197"/>
        <v>0</v>
      </c>
      <c r="BD196" s="1">
        <f t="shared" si="198"/>
        <v>562.860488720952</v>
      </c>
      <c r="BE196" s="1">
        <f t="shared" si="229"/>
        <v>2390.5681596</v>
      </c>
      <c r="BF196" s="1">
        <f t="shared" si="230"/>
        <v>1780.973278902</v>
      </c>
      <c r="BG196" s="1">
        <f t="shared" si="231"/>
        <v>3129.2537209163997</v>
      </c>
      <c r="BH196" s="1">
        <f t="shared" si="232"/>
        <v>486.2172528</v>
      </c>
      <c r="BI196" s="1">
        <f t="shared" si="233"/>
        <v>309.2341727808</v>
      </c>
      <c r="BJ196" s="1">
        <f t="shared" si="234"/>
        <v>707.446102824</v>
      </c>
      <c r="BL196" s="2">
        <v>0.58</v>
      </c>
      <c r="BM196" s="2">
        <v>0</v>
      </c>
      <c r="BO196" s="1">
        <f t="shared" si="199"/>
        <v>741.48131052</v>
      </c>
      <c r="BP196" s="1">
        <f t="shared" si="200"/>
        <v>433.44031487757115</v>
      </c>
      <c r="BQ196" s="1">
        <f t="shared" si="201"/>
        <v>1023.540801041808</v>
      </c>
      <c r="BR196" s="1">
        <f t="shared" si="202"/>
        <v>125.96268295872002</v>
      </c>
      <c r="BS196" s="1">
        <f t="shared" si="203"/>
        <v>0</v>
      </c>
      <c r="BT196" s="1">
        <f t="shared" si="204"/>
        <v>301.69322195443027</v>
      </c>
      <c r="BU196" s="1">
        <f t="shared" si="205"/>
        <v>2390.5681596</v>
      </c>
      <c r="BV196" s="1">
        <f t="shared" si="206"/>
        <v>1780.973278902</v>
      </c>
      <c r="BW196" s="1">
        <f t="shared" si="207"/>
        <v>3129.2537209163997</v>
      </c>
      <c r="BX196" s="1">
        <f t="shared" si="208"/>
        <v>486.2172528</v>
      </c>
      <c r="BY196" s="1">
        <f t="shared" si="209"/>
        <v>309.2341727808</v>
      </c>
      <c r="BZ196" s="1">
        <f t="shared" si="210"/>
        <v>707.446102824</v>
      </c>
      <c r="CA196" s="1">
        <f t="shared" si="211"/>
        <v>3942.7681174387203</v>
      </c>
      <c r="CB196" s="1">
        <f t="shared" si="212"/>
        <v>3035.0640000000003</v>
      </c>
      <c r="CC196" s="1">
        <f t="shared" si="213"/>
        <v>6825.707173233479</v>
      </c>
      <c r="CD196" s="1">
        <f t="shared" si="236"/>
        <v>14823.252575999999</v>
      </c>
      <c r="CE196" s="1">
        <f t="shared" si="237"/>
        <v>11858.602060800002</v>
      </c>
      <c r="CF196" s="1">
        <f t="shared" si="238"/>
        <v>19714.925926080003</v>
      </c>
      <c r="CG196" t="s">
        <v>211</v>
      </c>
      <c r="CH196" s="19" t="s">
        <v>198</v>
      </c>
      <c r="CI196">
        <v>505844</v>
      </c>
      <c r="CJ196" s="102">
        <v>179.1938</v>
      </c>
      <c r="CK196" s="1">
        <v>701.8192</v>
      </c>
      <c r="CL196" s="1">
        <f t="shared" si="214"/>
        <v>881.013</v>
      </c>
      <c r="CM196" s="1">
        <v>171.239272962066</v>
      </c>
      <c r="CN196" s="1">
        <v>652.330545023401</v>
      </c>
      <c r="CO196" s="1">
        <f t="shared" si="215"/>
        <v>823.569817985467</v>
      </c>
      <c r="CP196" s="1">
        <f t="shared" si="239"/>
        <v>271.44861200800995</v>
      </c>
      <c r="CQ196" s="1">
        <f t="shared" si="240"/>
        <v>143.712933238464</v>
      </c>
      <c r="CR196" s="1">
        <f t="shared" si="241"/>
        <v>375.2184090741788</v>
      </c>
      <c r="CS196" s="1">
        <f t="shared" si="242"/>
        <v>104.11978785105947</v>
      </c>
      <c r="CT196" s="1">
        <f t="shared" si="243"/>
        <v>13.520752964840062</v>
      </c>
      <c r="CU196" s="1">
        <f t="shared" si="244"/>
        <v>191.29392422337162</v>
      </c>
    </row>
    <row r="197" spans="1:99" ht="13.5" customHeight="1">
      <c r="A197" s="143" t="s">
        <v>331</v>
      </c>
      <c r="B197" s="135">
        <v>0.644</v>
      </c>
      <c r="C197" t="s">
        <v>330</v>
      </c>
      <c r="D197" s="2" t="s">
        <v>337</v>
      </c>
      <c r="E197" s="140"/>
      <c r="V197" s="1">
        <f t="shared" si="185"/>
        <v>5749.275000000001</v>
      </c>
      <c r="W197" s="1">
        <f t="shared" si="186"/>
        <v>4599.42</v>
      </c>
      <c r="X197" s="1">
        <f t="shared" si="187"/>
        <v>7646.535750000001</v>
      </c>
      <c r="Y197" s="1">
        <f t="shared" si="188"/>
        <v>3285.3</v>
      </c>
      <c r="Z197" s="1">
        <f t="shared" si="189"/>
        <v>2628.2400000000002</v>
      </c>
      <c r="AA197" s="1">
        <f t="shared" si="190"/>
        <v>4369.4490000000005</v>
      </c>
      <c r="AB197" s="1">
        <f t="shared" si="219"/>
        <v>44548.668</v>
      </c>
      <c r="AC197" s="1">
        <f t="shared" si="220"/>
        <v>35638.9344</v>
      </c>
      <c r="AD197" s="1">
        <f t="shared" si="221"/>
        <v>59249.72844</v>
      </c>
      <c r="AE197" s="1">
        <f t="shared" si="222"/>
        <v>26101.7085</v>
      </c>
      <c r="AF197" s="1">
        <f t="shared" si="223"/>
        <v>20881.366800000003</v>
      </c>
      <c r="AG197" s="1">
        <f t="shared" si="224"/>
        <v>34715.272305000006</v>
      </c>
      <c r="AP197" t="s">
        <v>212</v>
      </c>
      <c r="AQ197" s="19" t="s">
        <v>198</v>
      </c>
      <c r="AR197">
        <v>2737750</v>
      </c>
      <c r="AS197" s="1">
        <f t="shared" si="248"/>
        <v>82132.5</v>
      </c>
      <c r="AT197" s="1">
        <f t="shared" si="227"/>
        <v>65706</v>
      </c>
      <c r="AU197" s="1">
        <f t="shared" si="228"/>
        <v>109236.225</v>
      </c>
      <c r="AV197" s="1">
        <f t="shared" si="245"/>
        <v>21929.377500000002</v>
      </c>
      <c r="AW197" s="1">
        <f t="shared" si="246"/>
        <v>16426.5</v>
      </c>
      <c r="AX197" s="1">
        <f t="shared" si="247"/>
        <v>38355.8775</v>
      </c>
      <c r="AY197" s="1">
        <f t="shared" si="193"/>
        <v>4013.0760825</v>
      </c>
      <c r="AZ197" s="1">
        <f t="shared" si="194"/>
        <v>2345.8837547862</v>
      </c>
      <c r="BA197" s="1">
        <f t="shared" si="195"/>
        <v>5539.650224283</v>
      </c>
      <c r="BB197" s="1">
        <f t="shared" si="196"/>
        <v>1271.9038950000001</v>
      </c>
      <c r="BC197" s="1">
        <f t="shared" si="197"/>
        <v>0</v>
      </c>
      <c r="BD197" s="1">
        <f t="shared" si="198"/>
        <v>3046.3370189145003</v>
      </c>
      <c r="BE197" s="1">
        <f t="shared" si="229"/>
        <v>12938.332725</v>
      </c>
      <c r="BF197" s="1">
        <f t="shared" si="230"/>
        <v>9639.057880125</v>
      </c>
      <c r="BG197" s="1">
        <f t="shared" si="231"/>
        <v>16936.277537025</v>
      </c>
      <c r="BH197" s="1">
        <f t="shared" si="232"/>
        <v>2631.5253000000002</v>
      </c>
      <c r="BI197" s="1">
        <f t="shared" si="233"/>
        <v>1673.6500908000003</v>
      </c>
      <c r="BJ197" s="1">
        <f t="shared" si="234"/>
        <v>3828.8693115000005</v>
      </c>
      <c r="BL197" s="2">
        <v>0</v>
      </c>
      <c r="BM197" s="2">
        <v>0</v>
      </c>
      <c r="BO197" s="1">
        <f t="shared" si="199"/>
        <v>4013.0760825</v>
      </c>
      <c r="BP197" s="1">
        <f t="shared" si="200"/>
        <v>2345.8837547862</v>
      </c>
      <c r="BQ197" s="1">
        <f t="shared" si="201"/>
        <v>5539.650224283</v>
      </c>
      <c r="BR197" s="1">
        <f t="shared" si="202"/>
        <v>1271.9038950000001</v>
      </c>
      <c r="BS197" s="1">
        <f t="shared" si="203"/>
        <v>0</v>
      </c>
      <c r="BT197" s="1">
        <f t="shared" si="204"/>
        <v>3046.3370189145003</v>
      </c>
      <c r="BU197" s="1">
        <f t="shared" si="205"/>
        <v>12938.332725</v>
      </c>
      <c r="BV197" s="1">
        <f t="shared" si="206"/>
        <v>9639.057880125</v>
      </c>
      <c r="BW197" s="1">
        <f t="shared" si="207"/>
        <v>16936.277537025</v>
      </c>
      <c r="BX197" s="1">
        <f t="shared" si="208"/>
        <v>2631.5253000000002</v>
      </c>
      <c r="BY197" s="1">
        <f t="shared" si="209"/>
        <v>1673.6500908000003</v>
      </c>
      <c r="BZ197" s="1">
        <f t="shared" si="210"/>
        <v>3828.8693115000005</v>
      </c>
      <c r="CA197" s="1">
        <f t="shared" si="211"/>
        <v>21929.377500000002</v>
      </c>
      <c r="CB197" s="1">
        <f t="shared" si="212"/>
        <v>16426.5</v>
      </c>
      <c r="CC197" s="1">
        <f t="shared" si="213"/>
        <v>38355.8775</v>
      </c>
      <c r="CD197" s="1">
        <f t="shared" si="236"/>
        <v>82132.5</v>
      </c>
      <c r="CE197" s="1">
        <f t="shared" si="237"/>
        <v>65706</v>
      </c>
      <c r="CF197" s="1">
        <f t="shared" si="238"/>
        <v>109236.225</v>
      </c>
      <c r="CG197" t="s">
        <v>212</v>
      </c>
      <c r="CH197" s="19" t="s">
        <v>198</v>
      </c>
      <c r="CI197">
        <v>2737750</v>
      </c>
      <c r="CJ197" s="102">
        <v>987.3459</v>
      </c>
      <c r="CK197" s="1">
        <v>3745.395</v>
      </c>
      <c r="CL197" s="1">
        <f t="shared" si="214"/>
        <v>4732.7409</v>
      </c>
      <c r="CM197" s="1">
        <v>646.841430300111</v>
      </c>
      <c r="CN197" s="1">
        <v>4323.12405957143</v>
      </c>
      <c r="CO197" s="1">
        <f t="shared" si="215"/>
        <v>4969.965489871541</v>
      </c>
      <c r="CP197" s="1">
        <f t="shared" si="239"/>
        <v>1638.1006254616598</v>
      </c>
      <c r="CQ197" s="1">
        <f t="shared" si="240"/>
        <v>867.2589779825838</v>
      </c>
      <c r="CR197" s="1">
        <f t="shared" si="241"/>
        <v>2264.316277185474</v>
      </c>
      <c r="CS197" s="1">
        <f t="shared" si="242"/>
        <v>1056.6146631466895</v>
      </c>
      <c r="CT197" s="1">
        <f t="shared" si="243"/>
        <v>150.09295779412054</v>
      </c>
      <c r="CU197" s="1">
        <f t="shared" si="244"/>
        <v>1793.163548745652</v>
      </c>
    </row>
    <row r="198" spans="1:99" ht="13.5" customHeight="1">
      <c r="A198" s="143" t="s">
        <v>332</v>
      </c>
      <c r="B198" s="135">
        <v>0.526</v>
      </c>
      <c r="C198" t="s">
        <v>330</v>
      </c>
      <c r="D198" s="2" t="s">
        <v>337</v>
      </c>
      <c r="E198" s="140"/>
      <c r="V198" s="1">
        <f t="shared" si="185"/>
        <v>2162.9832</v>
      </c>
      <c r="W198" s="1">
        <f t="shared" si="186"/>
        <v>1730.3865600000001</v>
      </c>
      <c r="X198" s="1">
        <f t="shared" si="187"/>
        <v>2876.7676560000004</v>
      </c>
      <c r="Y198" s="1">
        <f t="shared" si="188"/>
        <v>1235.9904</v>
      </c>
      <c r="Z198" s="1">
        <f t="shared" si="189"/>
        <v>988.79232</v>
      </c>
      <c r="AA198" s="1">
        <f t="shared" si="190"/>
        <v>1643.867232</v>
      </c>
      <c r="AB198" s="1">
        <f t="shared" si="219"/>
        <v>16760.029823999997</v>
      </c>
      <c r="AC198" s="1">
        <f t="shared" si="220"/>
        <v>13408.0238592</v>
      </c>
      <c r="AD198" s="1">
        <f t="shared" si="221"/>
        <v>22290.83966592</v>
      </c>
      <c r="AE198" s="1">
        <f t="shared" si="222"/>
        <v>9819.943728</v>
      </c>
      <c r="AF198" s="1">
        <f t="shared" si="223"/>
        <v>7855.9549824000005</v>
      </c>
      <c r="AG198" s="1">
        <f t="shared" si="224"/>
        <v>13060.525158240001</v>
      </c>
      <c r="AP198" t="s">
        <v>213</v>
      </c>
      <c r="AQ198" s="23" t="s">
        <v>214</v>
      </c>
      <c r="AR198">
        <v>514996</v>
      </c>
      <c r="AS198" s="1">
        <f>AR198*0.06</f>
        <v>30899.76</v>
      </c>
      <c r="AT198" s="1">
        <f t="shared" si="227"/>
        <v>24719.808</v>
      </c>
      <c r="AU198" s="1">
        <f t="shared" si="228"/>
        <v>41096.6808</v>
      </c>
      <c r="AV198" s="1">
        <f t="shared" si="245"/>
        <v>8250.23592</v>
      </c>
      <c r="AW198" s="1">
        <f t="shared" si="246"/>
        <v>6179.952</v>
      </c>
      <c r="AX198" s="1">
        <f t="shared" si="247"/>
        <v>14430.18792</v>
      </c>
      <c r="AY198" s="1">
        <f t="shared" si="193"/>
        <v>1509.7931733599999</v>
      </c>
      <c r="AZ198" s="1">
        <f t="shared" si="194"/>
        <v>882.5646974193214</v>
      </c>
      <c r="BA198" s="1">
        <f t="shared" si="195"/>
        <v>2084.118496506144</v>
      </c>
      <c r="BB198" s="1">
        <f t="shared" si="196"/>
        <v>478.51368335999996</v>
      </c>
      <c r="BC198" s="1">
        <f t="shared" si="197"/>
        <v>0</v>
      </c>
      <c r="BD198" s="1">
        <f t="shared" si="198"/>
        <v>1146.0881230155358</v>
      </c>
      <c r="BE198" s="1">
        <f t="shared" si="229"/>
        <v>4867.639192799999</v>
      </c>
      <c r="BF198" s="1">
        <f t="shared" si="230"/>
        <v>3626.3911986359994</v>
      </c>
      <c r="BG198" s="1">
        <f t="shared" si="231"/>
        <v>6371.739703375199</v>
      </c>
      <c r="BH198" s="1">
        <f t="shared" si="232"/>
        <v>990.0283103999999</v>
      </c>
      <c r="BI198" s="1">
        <f t="shared" si="233"/>
        <v>629.6580054143999</v>
      </c>
      <c r="BJ198" s="1">
        <f t="shared" si="234"/>
        <v>1440.491191632</v>
      </c>
      <c r="BL198" s="2">
        <v>0</v>
      </c>
      <c r="BM198" s="2">
        <v>0</v>
      </c>
      <c r="BO198" s="1">
        <f t="shared" si="199"/>
        <v>1509.7931733599999</v>
      </c>
      <c r="BP198" s="1">
        <f t="shared" si="200"/>
        <v>882.5646974193214</v>
      </c>
      <c r="BQ198" s="1">
        <f t="shared" si="201"/>
        <v>2084.118496506144</v>
      </c>
      <c r="BR198" s="1">
        <f t="shared" si="202"/>
        <v>478.51368335999996</v>
      </c>
      <c r="BS198" s="1">
        <f t="shared" si="203"/>
        <v>0</v>
      </c>
      <c r="BT198" s="1">
        <f t="shared" si="204"/>
        <v>1146.0881230155358</v>
      </c>
      <c r="BU198" s="1">
        <f t="shared" si="205"/>
        <v>4867.639192799999</v>
      </c>
      <c r="BV198" s="1">
        <f t="shared" si="206"/>
        <v>3626.3911986359994</v>
      </c>
      <c r="BW198" s="1">
        <f t="shared" si="207"/>
        <v>6371.739703375199</v>
      </c>
      <c r="BX198" s="1">
        <f t="shared" si="208"/>
        <v>990.0283103999999</v>
      </c>
      <c r="BY198" s="1">
        <f t="shared" si="209"/>
        <v>629.6580054143999</v>
      </c>
      <c r="BZ198" s="1">
        <f t="shared" si="210"/>
        <v>1440.491191632</v>
      </c>
      <c r="CA198" s="1">
        <f t="shared" si="211"/>
        <v>8250.23592</v>
      </c>
      <c r="CB198" s="1">
        <f t="shared" si="212"/>
        <v>6179.952</v>
      </c>
      <c r="CC198" s="1">
        <f t="shared" si="213"/>
        <v>14430.18792</v>
      </c>
      <c r="CD198" s="1">
        <f t="shared" si="236"/>
        <v>30899.76</v>
      </c>
      <c r="CE198" s="1">
        <f t="shared" si="237"/>
        <v>24719.808</v>
      </c>
      <c r="CF198" s="1">
        <f t="shared" si="238"/>
        <v>41096.6808</v>
      </c>
      <c r="CG198" t="s">
        <v>213</v>
      </c>
      <c r="CH198" s="23" t="s">
        <v>214</v>
      </c>
      <c r="CI198">
        <v>514996</v>
      </c>
      <c r="CJ198" s="102">
        <v>12.55307</v>
      </c>
      <c r="CK198" s="1">
        <v>42.9749</v>
      </c>
      <c r="CL198" s="1">
        <f t="shared" si="214"/>
        <v>55.527969999999996</v>
      </c>
      <c r="CM198" s="1">
        <v>12.4199985865724</v>
      </c>
      <c r="CN198" s="1">
        <v>38.7128197993945</v>
      </c>
      <c r="CO198" s="1">
        <f t="shared" si="215"/>
        <v>51.1328183859669</v>
      </c>
      <c r="CP198" s="1">
        <f t="shared" si="239"/>
        <v>16.85337694001469</v>
      </c>
      <c r="CQ198" s="1">
        <f t="shared" si="240"/>
        <v>8.922676808351223</v>
      </c>
      <c r="CR198" s="1">
        <f t="shared" si="241"/>
        <v>23.29611205664652</v>
      </c>
      <c r="CS198" s="1">
        <f t="shared" si="242"/>
        <v>10.870837188856564</v>
      </c>
      <c r="CT198" s="1">
        <f t="shared" si="243"/>
        <v>1.5442111152562004</v>
      </c>
      <c r="CU198" s="1">
        <f t="shared" si="244"/>
        <v>18.448720873656857</v>
      </c>
    </row>
    <row r="199" spans="1:99" ht="13.5" customHeight="1">
      <c r="A199" s="143"/>
      <c r="B199" s="134"/>
      <c r="E199" s="140"/>
      <c r="V199" s="1">
        <f t="shared" si="185"/>
        <v>6892.0026</v>
      </c>
      <c r="W199" s="1">
        <f t="shared" si="186"/>
        <v>5513.602080000001</v>
      </c>
      <c r="X199" s="1">
        <f t="shared" si="187"/>
        <v>9166.363458000002</v>
      </c>
      <c r="Y199" s="1">
        <f t="shared" si="188"/>
        <v>913.6826303999997</v>
      </c>
      <c r="Z199" s="1">
        <f t="shared" si="189"/>
        <v>730.9461043199999</v>
      </c>
      <c r="AA199" s="1">
        <f t="shared" si="190"/>
        <v>1215.1978984320003</v>
      </c>
      <c r="AB199" s="1">
        <f t="shared" si="219"/>
        <v>51352.49253381119</v>
      </c>
      <c r="AC199" s="1">
        <f t="shared" si="220"/>
        <v>41081.99402704896</v>
      </c>
      <c r="AD199" s="1">
        <f t="shared" si="221"/>
        <v>68298.8150699689</v>
      </c>
      <c r="AE199" s="1">
        <f t="shared" si="222"/>
        <v>30088.1676387264</v>
      </c>
      <c r="AF199" s="1">
        <f t="shared" si="223"/>
        <v>24070.534110981123</v>
      </c>
      <c r="AG199" s="1">
        <f t="shared" si="224"/>
        <v>40017.262959506115</v>
      </c>
      <c r="AP199" t="s">
        <v>217</v>
      </c>
      <c r="AQ199" s="23" t="s">
        <v>214</v>
      </c>
      <c r="AR199">
        <v>1640953</v>
      </c>
      <c r="AS199" s="1">
        <f aca="true" t="shared" si="249" ref="AS199:AS204">AR199*0.06</f>
        <v>98457.18</v>
      </c>
      <c r="AT199" s="1">
        <f t="shared" si="227"/>
        <v>78765.744</v>
      </c>
      <c r="AU199" s="1">
        <f t="shared" si="228"/>
        <v>130948.0494</v>
      </c>
      <c r="AV199" s="1">
        <f t="shared" si="245"/>
        <v>26288.06706</v>
      </c>
      <c r="AW199" s="1">
        <f t="shared" si="246"/>
        <v>19691.436</v>
      </c>
      <c r="AX199" s="1">
        <f t="shared" si="247"/>
        <v>45979.50306</v>
      </c>
      <c r="AY199" s="1">
        <f t="shared" si="193"/>
        <v>4810.71627198</v>
      </c>
      <c r="AZ199" s="1">
        <f t="shared" si="194"/>
        <v>2812.1523039486287</v>
      </c>
      <c r="BA199" s="1">
        <f t="shared" si="195"/>
        <v>6640.712741841192</v>
      </c>
      <c r="BB199" s="1">
        <f t="shared" si="196"/>
        <v>1524.7078894800002</v>
      </c>
      <c r="BC199" s="1">
        <f t="shared" si="197"/>
        <v>0</v>
      </c>
      <c r="BD199" s="1">
        <f t="shared" si="198"/>
        <v>3651.827866093548</v>
      </c>
      <c r="BE199" s="1">
        <f t="shared" si="229"/>
        <v>15509.9595654</v>
      </c>
      <c r="BF199" s="1">
        <f t="shared" si="230"/>
        <v>11554.919876223</v>
      </c>
      <c r="BG199" s="1">
        <f t="shared" si="231"/>
        <v>20302.5370711086</v>
      </c>
      <c r="BH199" s="1">
        <f t="shared" si="232"/>
        <v>3154.5680472</v>
      </c>
      <c r="BI199" s="1">
        <f t="shared" si="233"/>
        <v>2006.3052780192</v>
      </c>
      <c r="BJ199" s="1">
        <f t="shared" si="234"/>
        <v>4589.896508676</v>
      </c>
      <c r="BL199" s="2">
        <v>0.96</v>
      </c>
      <c r="BM199" s="2">
        <v>0</v>
      </c>
      <c r="BO199" s="1">
        <f t="shared" si="199"/>
        <v>4810.71627198</v>
      </c>
      <c r="BP199" s="1">
        <f t="shared" si="200"/>
        <v>2812.1523039486287</v>
      </c>
      <c r="BQ199" s="1">
        <f t="shared" si="201"/>
        <v>6640.712741841192</v>
      </c>
      <c r="BR199" s="1">
        <f t="shared" si="202"/>
        <v>353.7322303593601</v>
      </c>
      <c r="BS199" s="1">
        <f t="shared" si="203"/>
        <v>0</v>
      </c>
      <c r="BT199" s="1">
        <f t="shared" si="204"/>
        <v>847.2240649337032</v>
      </c>
      <c r="BU199" s="1">
        <f t="shared" si="205"/>
        <v>15509.9595654</v>
      </c>
      <c r="BV199" s="1">
        <f t="shared" si="206"/>
        <v>11554.919876223</v>
      </c>
      <c r="BW199" s="1">
        <f t="shared" si="207"/>
        <v>20302.5370711086</v>
      </c>
      <c r="BX199" s="1">
        <f t="shared" si="208"/>
        <v>3154.5680472</v>
      </c>
      <c r="BY199" s="1">
        <f t="shared" si="209"/>
        <v>2006.3052780192</v>
      </c>
      <c r="BZ199" s="1">
        <f t="shared" si="210"/>
        <v>4589.896508676</v>
      </c>
      <c r="CA199" s="1">
        <f t="shared" si="211"/>
        <v>25117.091400879362</v>
      </c>
      <c r="CB199" s="1">
        <f t="shared" si="212"/>
        <v>19691.436</v>
      </c>
      <c r="CC199" s="1">
        <f t="shared" si="213"/>
        <v>43174.89925884016</v>
      </c>
      <c r="CD199" s="1">
        <f t="shared" si="236"/>
        <v>94676.424288</v>
      </c>
      <c r="CE199" s="1">
        <f t="shared" si="237"/>
        <v>75741.1394304</v>
      </c>
      <c r="CF199" s="1">
        <f t="shared" si="238"/>
        <v>125919.64430304</v>
      </c>
      <c r="CG199" t="s">
        <v>217</v>
      </c>
      <c r="CH199" s="23" t="s">
        <v>214</v>
      </c>
      <c r="CI199">
        <v>1640953</v>
      </c>
      <c r="CJ199" s="102">
        <v>382.831</v>
      </c>
      <c r="CK199" s="1">
        <v>1295.297</v>
      </c>
      <c r="CL199" s="1">
        <f t="shared" si="214"/>
        <v>1678.1280000000002</v>
      </c>
      <c r="CM199" s="1">
        <v>317.912828077826</v>
      </c>
      <c r="CN199" s="1">
        <v>1090.13751232339</v>
      </c>
      <c r="CO199" s="1">
        <f t="shared" si="215"/>
        <v>1408.050340401216</v>
      </c>
      <c r="CP199" s="1">
        <f t="shared" si="239"/>
        <v>464.0933921962408</v>
      </c>
      <c r="CQ199" s="1">
        <f t="shared" si="240"/>
        <v>245.7047844000122</v>
      </c>
      <c r="CR199" s="1">
        <f t="shared" si="241"/>
        <v>641.507735086794</v>
      </c>
      <c r="CS199" s="1">
        <f t="shared" si="242"/>
        <v>83.00182013559237</v>
      </c>
      <c r="CT199" s="1">
        <f t="shared" si="243"/>
        <v>10.099610224694555</v>
      </c>
      <c r="CU199" s="1">
        <f t="shared" si="244"/>
        <v>163.0388512324265</v>
      </c>
    </row>
    <row r="200" spans="1:99" ht="13.5" customHeight="1">
      <c r="A200" s="143" t="s">
        <v>333</v>
      </c>
      <c r="B200" s="135">
        <v>0.655</v>
      </c>
      <c r="C200" t="s">
        <v>330</v>
      </c>
      <c r="D200" s="2" t="s">
        <v>335</v>
      </c>
      <c r="E200" s="140"/>
      <c r="V200" s="1">
        <f t="shared" si="185"/>
        <v>484.15500000000003</v>
      </c>
      <c r="W200" s="1">
        <f t="shared" si="186"/>
        <v>387.32400000000007</v>
      </c>
      <c r="X200" s="1">
        <f t="shared" si="187"/>
        <v>643.92615</v>
      </c>
      <c r="Y200" s="1">
        <f t="shared" si="188"/>
        <v>81.89135999999999</v>
      </c>
      <c r="Z200" s="1">
        <f t="shared" si="189"/>
        <v>65.51308799999998</v>
      </c>
      <c r="AA200" s="1">
        <f t="shared" si="190"/>
        <v>108.9155088</v>
      </c>
      <c r="AB200" s="1">
        <f t="shared" si="219"/>
        <v>3619.45646208</v>
      </c>
      <c r="AC200" s="1">
        <f t="shared" si="220"/>
        <v>2895.565169664</v>
      </c>
      <c r="AD200" s="1">
        <f t="shared" si="221"/>
        <v>4813.8770945664</v>
      </c>
      <c r="AE200" s="1">
        <f t="shared" si="222"/>
        <v>2120.6918577600004</v>
      </c>
      <c r="AF200" s="1">
        <f t="shared" si="223"/>
        <v>1696.5534862080003</v>
      </c>
      <c r="AG200" s="1">
        <f t="shared" si="224"/>
        <v>2820.5201708208006</v>
      </c>
      <c r="AP200" t="s">
        <v>218</v>
      </c>
      <c r="AQ200" s="23" t="s">
        <v>214</v>
      </c>
      <c r="AR200">
        <v>115275</v>
      </c>
      <c r="AS200" s="1">
        <f t="shared" si="249"/>
        <v>6916.5</v>
      </c>
      <c r="AT200" s="1">
        <f t="shared" si="227"/>
        <v>5533.200000000001</v>
      </c>
      <c r="AU200" s="1">
        <f t="shared" si="228"/>
        <v>9198.945</v>
      </c>
      <c r="AV200" s="1">
        <f t="shared" si="245"/>
        <v>1846.7055</v>
      </c>
      <c r="AW200" s="1">
        <f t="shared" si="246"/>
        <v>1383.3000000000002</v>
      </c>
      <c r="AX200" s="1">
        <f t="shared" si="247"/>
        <v>3230.0055</v>
      </c>
      <c r="AY200" s="1">
        <f t="shared" si="193"/>
        <v>337.9471065</v>
      </c>
      <c r="AZ200" s="1">
        <f t="shared" si="194"/>
        <v>197.55036057564</v>
      </c>
      <c r="BA200" s="1">
        <f t="shared" si="195"/>
        <v>466.50218581260003</v>
      </c>
      <c r="BB200" s="1">
        <f t="shared" si="196"/>
        <v>107.108919</v>
      </c>
      <c r="BC200" s="1">
        <f t="shared" si="197"/>
        <v>0</v>
      </c>
      <c r="BD200" s="1">
        <f t="shared" si="198"/>
        <v>256.5365718969</v>
      </c>
      <c r="BE200" s="1">
        <f t="shared" si="229"/>
        <v>1089.556245</v>
      </c>
      <c r="BF200" s="1">
        <f t="shared" si="230"/>
        <v>811.719402525</v>
      </c>
      <c r="BG200" s="1">
        <f t="shared" si="231"/>
        <v>1426.229124705</v>
      </c>
      <c r="BH200" s="1">
        <f t="shared" si="232"/>
        <v>221.60466</v>
      </c>
      <c r="BI200" s="1">
        <f t="shared" si="233"/>
        <v>140.94056376</v>
      </c>
      <c r="BJ200" s="1">
        <f t="shared" si="234"/>
        <v>322.4347803</v>
      </c>
      <c r="BL200" s="2">
        <v>0.88</v>
      </c>
      <c r="BM200" s="2">
        <v>0</v>
      </c>
      <c r="BO200" s="1">
        <f t="shared" si="199"/>
        <v>337.9471065</v>
      </c>
      <c r="BP200" s="1">
        <f t="shared" si="200"/>
        <v>197.55036057564</v>
      </c>
      <c r="BQ200" s="1">
        <f t="shared" si="201"/>
        <v>466.50218581260003</v>
      </c>
      <c r="BR200" s="1">
        <f t="shared" si="202"/>
        <v>31.704240024</v>
      </c>
      <c r="BS200" s="1">
        <f t="shared" si="203"/>
        <v>0</v>
      </c>
      <c r="BT200" s="1">
        <f t="shared" si="204"/>
        <v>75.9348252814824</v>
      </c>
      <c r="BU200" s="1">
        <f t="shared" si="205"/>
        <v>1089.556245</v>
      </c>
      <c r="BV200" s="1">
        <f t="shared" si="206"/>
        <v>811.719402525</v>
      </c>
      <c r="BW200" s="1">
        <f t="shared" si="207"/>
        <v>1426.229124705</v>
      </c>
      <c r="BX200" s="1">
        <f t="shared" si="208"/>
        <v>221.60466</v>
      </c>
      <c r="BY200" s="1">
        <f t="shared" si="209"/>
        <v>140.94056376</v>
      </c>
      <c r="BZ200" s="1">
        <f t="shared" si="210"/>
        <v>322.4347803</v>
      </c>
      <c r="CA200" s="1">
        <f t="shared" si="211"/>
        <v>1771.300821024</v>
      </c>
      <c r="CB200" s="1">
        <f t="shared" si="212"/>
        <v>1383.3000000000002</v>
      </c>
      <c r="CC200" s="1">
        <f t="shared" si="213"/>
        <v>3049.4037533845826</v>
      </c>
      <c r="CD200" s="1">
        <f t="shared" si="236"/>
        <v>6673.0392</v>
      </c>
      <c r="CE200" s="1">
        <f t="shared" si="237"/>
        <v>5338.4313600000005</v>
      </c>
      <c r="CF200" s="1">
        <f t="shared" si="238"/>
        <v>8875.142136</v>
      </c>
      <c r="CG200" t="s">
        <v>218</v>
      </c>
      <c r="CH200" s="23" t="s">
        <v>214</v>
      </c>
      <c r="CI200">
        <v>115275</v>
      </c>
      <c r="CJ200" s="102">
        <v>17.40722</v>
      </c>
      <c r="CK200" s="1">
        <v>4.065825</v>
      </c>
      <c r="CL200" s="1">
        <f t="shared" si="214"/>
        <v>21.473045</v>
      </c>
      <c r="CM200" s="1">
        <v>16.2203640909091</v>
      </c>
      <c r="CN200" s="1">
        <v>3.12426552631579</v>
      </c>
      <c r="CO200" s="1">
        <f t="shared" si="215"/>
        <v>19.34462961722489</v>
      </c>
      <c r="CP200" s="1">
        <f t="shared" si="239"/>
        <v>6.3759899218373235</v>
      </c>
      <c r="CQ200" s="1">
        <f t="shared" si="240"/>
        <v>3.375637868205743</v>
      </c>
      <c r="CR200" s="1">
        <f t="shared" si="241"/>
        <v>8.81341325360766</v>
      </c>
      <c r="CS200" s="1">
        <f t="shared" si="242"/>
        <v>1.43162110781527</v>
      </c>
      <c r="CT200" s="1">
        <f t="shared" si="243"/>
        <v>0.17668191186609944</v>
      </c>
      <c r="CU200" s="1">
        <f t="shared" si="244"/>
        <v>2.7693745339187013</v>
      </c>
    </row>
    <row r="201" spans="1:99" ht="12.75">
      <c r="A201" s="143" t="s">
        <v>334</v>
      </c>
      <c r="B201" s="135">
        <v>0.522</v>
      </c>
      <c r="C201" t="s">
        <v>330</v>
      </c>
      <c r="D201" s="2" t="s">
        <v>335</v>
      </c>
      <c r="E201" s="140"/>
      <c r="V201" s="1">
        <f t="shared" si="185"/>
        <v>697.9434</v>
      </c>
      <c r="W201" s="1">
        <f t="shared" si="186"/>
        <v>558.35472</v>
      </c>
      <c r="X201" s="1">
        <f t="shared" si="187"/>
        <v>928.264722</v>
      </c>
      <c r="Y201" s="1">
        <f t="shared" si="188"/>
        <v>95.71795199999997</v>
      </c>
      <c r="Z201" s="1">
        <f t="shared" si="189"/>
        <v>76.57436159999997</v>
      </c>
      <c r="AA201" s="1">
        <f t="shared" si="190"/>
        <v>127.30487615999999</v>
      </c>
      <c r="AB201" s="1">
        <f t="shared" si="219"/>
        <v>5202.557845056</v>
      </c>
      <c r="AC201" s="1">
        <f t="shared" si="220"/>
        <v>4162.046276044799</v>
      </c>
      <c r="AD201" s="1">
        <f t="shared" si="221"/>
        <v>6919.40193392448</v>
      </c>
      <c r="AE201" s="1">
        <f t="shared" si="222"/>
        <v>3048.253840632</v>
      </c>
      <c r="AF201" s="1">
        <f t="shared" si="223"/>
        <v>2438.6030725056</v>
      </c>
      <c r="AG201" s="1">
        <f t="shared" si="224"/>
        <v>4054.17760804056</v>
      </c>
      <c r="AP201" t="s">
        <v>219</v>
      </c>
      <c r="AQ201" s="23" t="s">
        <v>214</v>
      </c>
      <c r="AR201">
        <v>166177</v>
      </c>
      <c r="AS201" s="1">
        <f t="shared" si="249"/>
        <v>9970.619999999999</v>
      </c>
      <c r="AT201" s="1">
        <f t="shared" si="227"/>
        <v>7976.495999999999</v>
      </c>
      <c r="AU201" s="1">
        <f t="shared" si="228"/>
        <v>13260.924599999998</v>
      </c>
      <c r="AV201" s="1">
        <f t="shared" si="245"/>
        <v>2662.1555399999997</v>
      </c>
      <c r="AW201" s="1">
        <f t="shared" si="246"/>
        <v>1994.1239999999998</v>
      </c>
      <c r="AX201" s="1">
        <f t="shared" si="247"/>
        <v>4656.2795399999995</v>
      </c>
      <c r="AY201" s="1">
        <f t="shared" si="193"/>
        <v>487.17446381999997</v>
      </c>
      <c r="AZ201" s="1">
        <f t="shared" si="194"/>
        <v>284.78270457061916</v>
      </c>
      <c r="BA201" s="1">
        <f t="shared" si="195"/>
        <v>672.495629857128</v>
      </c>
      <c r="BB201" s="1">
        <f t="shared" si="196"/>
        <v>154.40502132</v>
      </c>
      <c r="BC201" s="1">
        <f t="shared" si="197"/>
        <v>0</v>
      </c>
      <c r="BD201" s="1">
        <f t="shared" si="198"/>
        <v>369.81546656353197</v>
      </c>
      <c r="BE201" s="1">
        <f t="shared" si="229"/>
        <v>1570.6717685999997</v>
      </c>
      <c r="BF201" s="1">
        <f t="shared" si="230"/>
        <v>1170.1504676069999</v>
      </c>
      <c r="BG201" s="1">
        <f t="shared" si="231"/>
        <v>2056.0093450973995</v>
      </c>
      <c r="BH201" s="1">
        <f t="shared" si="232"/>
        <v>319.45866479999995</v>
      </c>
      <c r="BI201" s="1">
        <f t="shared" si="233"/>
        <v>203.17571081279996</v>
      </c>
      <c r="BJ201" s="1">
        <f t="shared" si="234"/>
        <v>464.812357284</v>
      </c>
      <c r="BL201" s="2">
        <v>0.95</v>
      </c>
      <c r="BM201" s="2">
        <v>0</v>
      </c>
      <c r="BO201" s="1">
        <f t="shared" si="199"/>
        <v>487.17446381999997</v>
      </c>
      <c r="BP201" s="1">
        <f t="shared" si="200"/>
        <v>284.78270457061916</v>
      </c>
      <c r="BQ201" s="1">
        <f t="shared" si="201"/>
        <v>672.495629857128</v>
      </c>
      <c r="BR201" s="1">
        <f t="shared" si="202"/>
        <v>37.05720511679999</v>
      </c>
      <c r="BS201" s="1">
        <f t="shared" si="203"/>
        <v>0</v>
      </c>
      <c r="BT201" s="1">
        <f t="shared" si="204"/>
        <v>88.75571197524766</v>
      </c>
      <c r="BU201" s="1">
        <f t="shared" si="205"/>
        <v>1570.6717685999997</v>
      </c>
      <c r="BV201" s="1">
        <f t="shared" si="206"/>
        <v>1170.1504676069999</v>
      </c>
      <c r="BW201" s="1">
        <f t="shared" si="207"/>
        <v>2056.0093450973995</v>
      </c>
      <c r="BX201" s="1">
        <f t="shared" si="208"/>
        <v>319.45866479999995</v>
      </c>
      <c r="BY201" s="1">
        <f t="shared" si="209"/>
        <v>203.17571081279996</v>
      </c>
      <c r="BZ201" s="1">
        <f t="shared" si="210"/>
        <v>464.812357284</v>
      </c>
      <c r="CA201" s="1">
        <f t="shared" si="211"/>
        <v>2544.8077237967996</v>
      </c>
      <c r="CB201" s="1">
        <f t="shared" si="212"/>
        <v>1994.1239999999998</v>
      </c>
      <c r="CC201" s="1">
        <f t="shared" si="213"/>
        <v>4375.219785411715</v>
      </c>
      <c r="CD201" s="1">
        <f t="shared" si="236"/>
        <v>9591.736439999999</v>
      </c>
      <c r="CE201" s="1">
        <f t="shared" si="237"/>
        <v>7673.389151999999</v>
      </c>
      <c r="CF201" s="1">
        <f t="shared" si="238"/>
        <v>12757.009465199999</v>
      </c>
      <c r="CG201" t="s">
        <v>219</v>
      </c>
      <c r="CH201" s="23" t="s">
        <v>214</v>
      </c>
      <c r="CI201">
        <v>166177</v>
      </c>
      <c r="CJ201" s="102">
        <v>1.075164</v>
      </c>
      <c r="CK201" s="1">
        <v>21.2623</v>
      </c>
      <c r="CL201" s="1">
        <f t="shared" si="214"/>
        <v>22.337464</v>
      </c>
      <c r="CM201" s="1">
        <v>0.977421818181818</v>
      </c>
      <c r="CN201" s="1">
        <v>18.1306434108527</v>
      </c>
      <c r="CO201" s="1">
        <f t="shared" si="215"/>
        <v>19.108065229034516</v>
      </c>
      <c r="CP201" s="1">
        <f t="shared" si="239"/>
        <v>6.298018299489777</v>
      </c>
      <c r="CQ201" s="1">
        <f t="shared" si="240"/>
        <v>3.3343573824665227</v>
      </c>
      <c r="CR201" s="1">
        <f t="shared" si="241"/>
        <v>8.705634518348125</v>
      </c>
      <c r="CS201" s="1">
        <f t="shared" si="242"/>
        <v>1.1628602237605996</v>
      </c>
      <c r="CT201" s="1">
        <f t="shared" si="243"/>
        <v>0.14174867230682853</v>
      </c>
      <c r="CU201" s="1">
        <f t="shared" si="244"/>
        <v>2.279724196894643</v>
      </c>
    </row>
    <row r="202" spans="1:99" ht="12.75">
      <c r="A202" s="143"/>
      <c r="B202" s="134"/>
      <c r="E202" s="140"/>
      <c r="V202" s="1">
        <f t="shared" si="185"/>
        <v>901.7106000000001</v>
      </c>
      <c r="W202" s="1">
        <f t="shared" si="186"/>
        <v>721.3684800000001</v>
      </c>
      <c r="X202" s="1">
        <f t="shared" si="187"/>
        <v>1199.2750980000003</v>
      </c>
      <c r="Y202" s="1">
        <f t="shared" si="188"/>
        <v>255.57054719999996</v>
      </c>
      <c r="Z202" s="1">
        <f t="shared" si="189"/>
        <v>204.45643776000003</v>
      </c>
      <c r="AA202" s="1">
        <f t="shared" si="190"/>
        <v>339.90882777599995</v>
      </c>
      <c r="AB202" s="1">
        <f t="shared" si="219"/>
        <v>6810.8973734016</v>
      </c>
      <c r="AC202" s="1">
        <f t="shared" si="220"/>
        <v>5448.71789872128</v>
      </c>
      <c r="AD202" s="1">
        <f t="shared" si="221"/>
        <v>9058.493506624129</v>
      </c>
      <c r="AE202" s="1">
        <f t="shared" si="222"/>
        <v>3990.6032176752005</v>
      </c>
      <c r="AF202" s="1">
        <f t="shared" si="223"/>
        <v>3192.4825741401605</v>
      </c>
      <c r="AG202" s="1">
        <f t="shared" si="224"/>
        <v>5307.502279508017</v>
      </c>
      <c r="AP202" t="s">
        <v>220</v>
      </c>
      <c r="AQ202" s="23" t="s">
        <v>214</v>
      </c>
      <c r="AR202">
        <v>214693</v>
      </c>
      <c r="AS202" s="1">
        <f t="shared" si="249"/>
        <v>12881.58</v>
      </c>
      <c r="AT202" s="1">
        <f t="shared" si="227"/>
        <v>10305.264000000001</v>
      </c>
      <c r="AU202" s="1">
        <f t="shared" si="228"/>
        <v>17132.5014</v>
      </c>
      <c r="AV202" s="1">
        <f t="shared" si="245"/>
        <v>3439.38186</v>
      </c>
      <c r="AW202" s="1">
        <f t="shared" si="246"/>
        <v>2576.3160000000003</v>
      </c>
      <c r="AX202" s="1">
        <f t="shared" si="247"/>
        <v>6015.69786</v>
      </c>
      <c r="AY202" s="1">
        <f t="shared" si="193"/>
        <v>629.40688038</v>
      </c>
      <c r="AZ202" s="1">
        <f t="shared" si="194"/>
        <v>367.92608599493275</v>
      </c>
      <c r="BA202" s="1">
        <f t="shared" si="195"/>
        <v>868.833257676552</v>
      </c>
      <c r="BB202" s="1">
        <f t="shared" si="196"/>
        <v>199.48414788</v>
      </c>
      <c r="BC202" s="1">
        <f t="shared" si="197"/>
        <v>0</v>
      </c>
      <c r="BD202" s="1">
        <f t="shared" si="198"/>
        <v>477.78448258738797</v>
      </c>
      <c r="BE202" s="1">
        <f t="shared" si="229"/>
        <v>2029.2352973999998</v>
      </c>
      <c r="BF202" s="1">
        <f t="shared" si="230"/>
        <v>1511.7802965629999</v>
      </c>
      <c r="BG202" s="1">
        <f t="shared" si="231"/>
        <v>2656.2690042965996</v>
      </c>
      <c r="BH202" s="1">
        <f t="shared" si="232"/>
        <v>412.7258232</v>
      </c>
      <c r="BI202" s="1">
        <f t="shared" si="233"/>
        <v>262.4936235552</v>
      </c>
      <c r="BJ202" s="1">
        <f t="shared" si="234"/>
        <v>600.516072756</v>
      </c>
      <c r="BL202" s="2">
        <v>0.63</v>
      </c>
      <c r="BM202" s="2">
        <v>0</v>
      </c>
      <c r="BO202" s="1">
        <f t="shared" si="199"/>
        <v>629.40688038</v>
      </c>
      <c r="BP202" s="1">
        <f t="shared" si="200"/>
        <v>367.92608599493275</v>
      </c>
      <c r="BQ202" s="1">
        <f t="shared" si="201"/>
        <v>868.833257676552</v>
      </c>
      <c r="BR202" s="1">
        <f t="shared" si="202"/>
        <v>98.94413734847998</v>
      </c>
      <c r="BS202" s="1">
        <f t="shared" si="203"/>
        <v>0</v>
      </c>
      <c r="BT202" s="1">
        <f t="shared" si="204"/>
        <v>236.9811033633444</v>
      </c>
      <c r="BU202" s="1">
        <f t="shared" si="205"/>
        <v>2029.2352973999998</v>
      </c>
      <c r="BV202" s="1">
        <f t="shared" si="206"/>
        <v>1511.7802965629999</v>
      </c>
      <c r="BW202" s="1">
        <f t="shared" si="207"/>
        <v>2656.2690042965996</v>
      </c>
      <c r="BX202" s="1">
        <f t="shared" si="208"/>
        <v>412.7258232</v>
      </c>
      <c r="BY202" s="1">
        <f t="shared" si="209"/>
        <v>262.4936235552</v>
      </c>
      <c r="BZ202" s="1">
        <f t="shared" si="210"/>
        <v>600.516072756</v>
      </c>
      <c r="CA202" s="1">
        <f t="shared" si="211"/>
        <v>3338.84184946848</v>
      </c>
      <c r="CB202" s="1">
        <f t="shared" si="212"/>
        <v>2576.3160000000003</v>
      </c>
      <c r="CC202" s="1">
        <f t="shared" si="213"/>
        <v>5774.894480775956</v>
      </c>
      <c r="CD202" s="1">
        <f t="shared" si="236"/>
        <v>12556.964184</v>
      </c>
      <c r="CE202" s="1">
        <f t="shared" si="237"/>
        <v>10045.5713472</v>
      </c>
      <c r="CF202" s="1">
        <f t="shared" si="238"/>
        <v>16700.76236472</v>
      </c>
      <c r="CG202" t="s">
        <v>220</v>
      </c>
      <c r="CH202" s="23" t="s">
        <v>214</v>
      </c>
      <c r="CI202">
        <v>214693</v>
      </c>
      <c r="CJ202" s="102">
        <v>61.49575</v>
      </c>
      <c r="CK202" s="1">
        <v>136.6586</v>
      </c>
      <c r="CL202" s="1">
        <f t="shared" si="214"/>
        <v>198.15435000000002</v>
      </c>
      <c r="CM202" s="1">
        <v>53.3706638601036</v>
      </c>
      <c r="CN202" s="1">
        <v>107.624904761905</v>
      </c>
      <c r="CO202" s="1">
        <f t="shared" si="215"/>
        <v>160.9955686220086</v>
      </c>
      <c r="CP202" s="1">
        <f t="shared" si="239"/>
        <v>53.06413941781403</v>
      </c>
      <c r="CQ202" s="1">
        <f t="shared" si="240"/>
        <v>28.0937267245405</v>
      </c>
      <c r="CR202" s="1">
        <f t="shared" si="241"/>
        <v>73.34958106418712</v>
      </c>
      <c r="CS202" s="1">
        <f t="shared" si="242"/>
        <v>19.014309143402603</v>
      </c>
      <c r="CT202" s="1">
        <f t="shared" si="243"/>
        <v>2.4488584055215536</v>
      </c>
      <c r="CU202" s="1">
        <f t="shared" si="244"/>
        <v>35.21482896038396</v>
      </c>
    </row>
    <row r="203" spans="1:99" ht="12.75">
      <c r="A203" s="143" t="s">
        <v>340</v>
      </c>
      <c r="B203" s="135">
        <v>0.531</v>
      </c>
      <c r="C203" t="s">
        <v>330</v>
      </c>
      <c r="D203" s="2" t="s">
        <v>338</v>
      </c>
      <c r="E203" s="140"/>
      <c r="V203" s="1">
        <f t="shared" si="185"/>
        <v>34091.8746</v>
      </c>
      <c r="W203" s="1">
        <f t="shared" si="186"/>
        <v>27273.49968</v>
      </c>
      <c r="X203" s="1">
        <f t="shared" si="187"/>
        <v>45342.193218</v>
      </c>
      <c r="Y203" s="1">
        <f t="shared" si="188"/>
        <v>19481.0712</v>
      </c>
      <c r="Z203" s="1">
        <f t="shared" si="189"/>
        <v>15584.856960000001</v>
      </c>
      <c r="AA203" s="1">
        <f t="shared" si="190"/>
        <v>25909.824696</v>
      </c>
      <c r="AB203" s="1">
        <f t="shared" si="219"/>
        <v>264163.325472</v>
      </c>
      <c r="AC203" s="1">
        <f t="shared" si="220"/>
        <v>211330.6603776</v>
      </c>
      <c r="AD203" s="1">
        <f t="shared" si="221"/>
        <v>351337.22287776</v>
      </c>
      <c r="AE203" s="1">
        <f t="shared" si="222"/>
        <v>154777.110684</v>
      </c>
      <c r="AF203" s="1">
        <f t="shared" si="223"/>
        <v>123821.68854720001</v>
      </c>
      <c r="AG203" s="1">
        <f t="shared" si="224"/>
        <v>205853.55720972002</v>
      </c>
      <c r="AP203" t="s">
        <v>221</v>
      </c>
      <c r="AQ203" s="23" t="s">
        <v>214</v>
      </c>
      <c r="AR203">
        <v>8117113</v>
      </c>
      <c r="AS203" s="1">
        <f t="shared" si="249"/>
        <v>487026.77999999997</v>
      </c>
      <c r="AT203" s="1">
        <f t="shared" si="227"/>
        <v>389621.424</v>
      </c>
      <c r="AU203" s="1">
        <f t="shared" si="228"/>
        <v>647745.6174</v>
      </c>
      <c r="AV203" s="1">
        <f t="shared" si="245"/>
        <v>130036.15026</v>
      </c>
      <c r="AW203" s="1">
        <f t="shared" si="246"/>
        <v>97405.356</v>
      </c>
      <c r="AX203" s="1">
        <f t="shared" si="247"/>
        <v>227441.50626</v>
      </c>
      <c r="AY203" s="1">
        <f t="shared" si="193"/>
        <v>23796.61549758</v>
      </c>
      <c r="AZ203" s="1">
        <f t="shared" si="194"/>
        <v>13910.549555265363</v>
      </c>
      <c r="BA203" s="1">
        <f t="shared" si="195"/>
        <v>32848.84803285943</v>
      </c>
      <c r="BB203" s="1">
        <f t="shared" si="196"/>
        <v>7542.09671508</v>
      </c>
      <c r="BC203" s="1">
        <f t="shared" si="197"/>
        <v>0</v>
      </c>
      <c r="BD203" s="1">
        <f t="shared" si="198"/>
        <v>18064.075842288104</v>
      </c>
      <c r="BE203" s="1">
        <f t="shared" si="229"/>
        <v>76721.32865339999</v>
      </c>
      <c r="BF203" s="1">
        <f t="shared" si="230"/>
        <v>57157.38984678299</v>
      </c>
      <c r="BG203" s="1">
        <f t="shared" si="231"/>
        <v>100428.21920730059</v>
      </c>
      <c r="BH203" s="1">
        <f t="shared" si="232"/>
        <v>15604.338031199999</v>
      </c>
      <c r="BI203" s="1">
        <f t="shared" si="233"/>
        <v>9924.3589878432</v>
      </c>
      <c r="BJ203" s="1">
        <f t="shared" si="234"/>
        <v>22704.311835395998</v>
      </c>
      <c r="BL203" s="2">
        <v>0</v>
      </c>
      <c r="BM203" s="2">
        <v>0</v>
      </c>
      <c r="BO203" s="1">
        <f t="shared" si="199"/>
        <v>23796.61549758</v>
      </c>
      <c r="BP203" s="1">
        <f t="shared" si="200"/>
        <v>13910.549555265363</v>
      </c>
      <c r="BQ203" s="1">
        <f t="shared" si="201"/>
        <v>32848.84803285943</v>
      </c>
      <c r="BR203" s="1">
        <f t="shared" si="202"/>
        <v>7542.09671508</v>
      </c>
      <c r="BS203" s="1">
        <f t="shared" si="203"/>
        <v>0</v>
      </c>
      <c r="BT203" s="1">
        <f t="shared" si="204"/>
        <v>18064.075842288104</v>
      </c>
      <c r="BU203" s="1">
        <f t="shared" si="205"/>
        <v>76721.32865339999</v>
      </c>
      <c r="BV203" s="1">
        <f t="shared" si="206"/>
        <v>57157.38984678299</v>
      </c>
      <c r="BW203" s="1">
        <f t="shared" si="207"/>
        <v>100428.21920730059</v>
      </c>
      <c r="BX203" s="1">
        <f t="shared" si="208"/>
        <v>15604.338031199999</v>
      </c>
      <c r="BY203" s="1">
        <f t="shared" si="209"/>
        <v>9924.3589878432</v>
      </c>
      <c r="BZ203" s="1">
        <f t="shared" si="210"/>
        <v>22704.311835395998</v>
      </c>
      <c r="CA203" s="1">
        <f t="shared" si="211"/>
        <v>130036.15026</v>
      </c>
      <c r="CB203" s="1">
        <f t="shared" si="212"/>
        <v>97405.356</v>
      </c>
      <c r="CC203" s="1">
        <f t="shared" si="213"/>
        <v>227441.50626</v>
      </c>
      <c r="CD203" s="1">
        <f t="shared" si="236"/>
        <v>487026.77999999997</v>
      </c>
      <c r="CE203" s="1">
        <f t="shared" si="237"/>
        <v>389621.424</v>
      </c>
      <c r="CF203" s="1">
        <f t="shared" si="238"/>
        <v>647745.6174</v>
      </c>
      <c r="CG203" t="s">
        <v>221</v>
      </c>
      <c r="CH203" s="23" t="s">
        <v>214</v>
      </c>
      <c r="CI203">
        <v>8117113</v>
      </c>
      <c r="CJ203" s="102">
        <v>354.4287</v>
      </c>
      <c r="CK203" s="1">
        <v>1269.652</v>
      </c>
      <c r="CL203" s="1">
        <f t="shared" si="214"/>
        <v>1624.0807</v>
      </c>
      <c r="CM203" s="1">
        <v>385.369768076847</v>
      </c>
      <c r="CN203" s="1">
        <v>1232.60056017752</v>
      </c>
      <c r="CO203" s="1">
        <f t="shared" si="215"/>
        <v>1617.970328254367</v>
      </c>
      <c r="CP203" s="1">
        <f t="shared" si="239"/>
        <v>533.2830201926394</v>
      </c>
      <c r="CQ203" s="1">
        <f t="shared" si="240"/>
        <v>282.335822280387</v>
      </c>
      <c r="CR203" s="1">
        <f t="shared" si="241"/>
        <v>737.1472815526896</v>
      </c>
      <c r="CS203" s="1">
        <f t="shared" si="242"/>
        <v>343.9804917868784</v>
      </c>
      <c r="CT203" s="1">
        <f t="shared" si="243"/>
        <v>48.862703913281884</v>
      </c>
      <c r="CU203" s="1">
        <f t="shared" si="244"/>
        <v>583.7636944341756</v>
      </c>
    </row>
    <row r="204" spans="1:99" ht="12.75">
      <c r="A204" s="143" t="s">
        <v>341</v>
      </c>
      <c r="B204" s="135">
        <v>0.126</v>
      </c>
      <c r="C204" t="s">
        <v>330</v>
      </c>
      <c r="D204" s="2" t="s">
        <v>339</v>
      </c>
      <c r="E204" s="140"/>
      <c r="V204" s="1">
        <f t="shared" si="185"/>
        <v>9980.4306</v>
      </c>
      <c r="W204" s="1">
        <f t="shared" si="186"/>
        <v>7984.344480000001</v>
      </c>
      <c r="X204" s="1">
        <f t="shared" si="187"/>
        <v>13273.972698000001</v>
      </c>
      <c r="Y204" s="1">
        <f t="shared" si="188"/>
        <v>3376.2370944</v>
      </c>
      <c r="Z204" s="1">
        <f t="shared" si="189"/>
        <v>2700.98967552</v>
      </c>
      <c r="AA204" s="1">
        <f t="shared" si="190"/>
        <v>4490.395335552</v>
      </c>
      <c r="AB204" s="1">
        <f t="shared" si="219"/>
        <v>75756.46417240318</v>
      </c>
      <c r="AC204" s="1">
        <f t="shared" si="220"/>
        <v>60605.17133792256</v>
      </c>
      <c r="AD204" s="1">
        <f t="shared" si="221"/>
        <v>100756.09734929627</v>
      </c>
      <c r="AE204" s="1">
        <f t="shared" si="222"/>
        <v>44386.8073635504</v>
      </c>
      <c r="AF204" s="1">
        <f t="shared" si="223"/>
        <v>35509.445890840325</v>
      </c>
      <c r="AG204" s="1">
        <f t="shared" si="224"/>
        <v>59034.45379352204</v>
      </c>
      <c r="AP204" t="s">
        <v>222</v>
      </c>
      <c r="AQ204" s="23" t="s">
        <v>214</v>
      </c>
      <c r="AR204">
        <v>2376293</v>
      </c>
      <c r="AS204" s="1">
        <f t="shared" si="249"/>
        <v>142577.58</v>
      </c>
      <c r="AT204" s="1">
        <f t="shared" si="227"/>
        <v>114062.064</v>
      </c>
      <c r="AU204" s="1">
        <f t="shared" si="228"/>
        <v>189628.1814</v>
      </c>
      <c r="AV204" s="1">
        <f t="shared" si="245"/>
        <v>38068.213859999996</v>
      </c>
      <c r="AW204" s="1">
        <f t="shared" si="246"/>
        <v>28515.516</v>
      </c>
      <c r="AX204" s="1">
        <f t="shared" si="247"/>
        <v>66583.72985999999</v>
      </c>
      <c r="AY204" s="1">
        <f t="shared" si="193"/>
        <v>6966.483136379999</v>
      </c>
      <c r="AZ204" s="1">
        <f t="shared" si="194"/>
        <v>4072.3273822022925</v>
      </c>
      <c r="BA204" s="1">
        <f t="shared" si="195"/>
        <v>9616.533321458952</v>
      </c>
      <c r="BB204" s="1">
        <f t="shared" si="196"/>
        <v>2207.95640388</v>
      </c>
      <c r="BC204" s="1">
        <f t="shared" si="197"/>
        <v>0</v>
      </c>
      <c r="BD204" s="1">
        <f t="shared" si="198"/>
        <v>5288.276382932987</v>
      </c>
      <c r="BE204" s="1">
        <f t="shared" si="229"/>
        <v>22460.246177399997</v>
      </c>
      <c r="BF204" s="1">
        <f t="shared" si="230"/>
        <v>16732.883402163</v>
      </c>
      <c r="BG204" s="1">
        <f t="shared" si="231"/>
        <v>29400.462246216593</v>
      </c>
      <c r="BH204" s="1">
        <f t="shared" si="232"/>
        <v>4568.185663199999</v>
      </c>
      <c r="BI204" s="1">
        <f t="shared" si="233"/>
        <v>2905.3660817951995</v>
      </c>
      <c r="BJ204" s="1">
        <f t="shared" si="234"/>
        <v>6646.710139955999</v>
      </c>
      <c r="BL204" s="2">
        <v>0.51</v>
      </c>
      <c r="BM204" s="2">
        <v>0</v>
      </c>
      <c r="BO204" s="1">
        <f t="shared" si="199"/>
        <v>6966.483136379999</v>
      </c>
      <c r="BP204" s="1">
        <f t="shared" si="200"/>
        <v>4072.3273822022925</v>
      </c>
      <c r="BQ204" s="1">
        <f t="shared" si="201"/>
        <v>9616.533321458952</v>
      </c>
      <c r="BR204" s="1">
        <f t="shared" si="202"/>
        <v>1307.1101910969599</v>
      </c>
      <c r="BS204" s="1">
        <f t="shared" si="203"/>
        <v>0</v>
      </c>
      <c r="BT204" s="1">
        <f t="shared" si="204"/>
        <v>3130.659618696328</v>
      </c>
      <c r="BU204" s="1">
        <f t="shared" si="205"/>
        <v>22460.246177399997</v>
      </c>
      <c r="BV204" s="1">
        <f t="shared" si="206"/>
        <v>16732.883402163</v>
      </c>
      <c r="BW204" s="1">
        <f t="shared" si="207"/>
        <v>29400.462246216593</v>
      </c>
      <c r="BX204" s="1">
        <f t="shared" si="208"/>
        <v>4568.185663199999</v>
      </c>
      <c r="BY204" s="1">
        <f t="shared" si="209"/>
        <v>2905.3660817951995</v>
      </c>
      <c r="BZ204" s="1">
        <f t="shared" si="210"/>
        <v>6646.710139955999</v>
      </c>
      <c r="CA204" s="1">
        <f t="shared" si="211"/>
        <v>37167.36764721695</v>
      </c>
      <c r="CB204" s="1">
        <f t="shared" si="212"/>
        <v>28515.516</v>
      </c>
      <c r="CC204" s="1">
        <f t="shared" si="213"/>
        <v>64426.113095763336</v>
      </c>
      <c r="CD204" s="1">
        <f t="shared" si="236"/>
        <v>139668.99736799998</v>
      </c>
      <c r="CE204" s="1">
        <f t="shared" si="237"/>
        <v>111735.1978944</v>
      </c>
      <c r="CF204" s="1">
        <f t="shared" si="238"/>
        <v>185759.76649944</v>
      </c>
      <c r="CG204" t="s">
        <v>222</v>
      </c>
      <c r="CH204" s="23" t="s">
        <v>214</v>
      </c>
      <c r="CI204">
        <v>2376293</v>
      </c>
      <c r="CJ204" s="102">
        <v>155.9899</v>
      </c>
      <c r="CK204" s="1">
        <v>684.5884</v>
      </c>
      <c r="CL204" s="1">
        <f t="shared" si="214"/>
        <v>840.5783</v>
      </c>
      <c r="CM204" s="1">
        <v>122.179800135044</v>
      </c>
      <c r="CN204" s="1">
        <v>506.608527008064</v>
      </c>
      <c r="CO204" s="1">
        <f t="shared" si="215"/>
        <v>628.7883271431081</v>
      </c>
      <c r="CP204" s="1">
        <f t="shared" si="239"/>
        <v>207.24863262636842</v>
      </c>
      <c r="CQ204" s="1">
        <f t="shared" si="240"/>
        <v>109.72356308647235</v>
      </c>
      <c r="CR204" s="1">
        <f t="shared" si="241"/>
        <v>286.4759618464</v>
      </c>
      <c r="CS204" s="1">
        <f t="shared" si="242"/>
        <v>86.65535022649634</v>
      </c>
      <c r="CT204" s="1">
        <f t="shared" si="243"/>
        <v>11.381973350834992</v>
      </c>
      <c r="CU204" s="1">
        <f t="shared" si="244"/>
        <v>157.4884736851615</v>
      </c>
    </row>
    <row r="205" spans="1:99" ht="12.75">
      <c r="A205" s="143"/>
      <c r="B205" s="134"/>
      <c r="E205" s="140"/>
      <c r="V205" s="1">
        <f t="shared" si="185"/>
        <v>1204.4274364500004</v>
      </c>
      <c r="W205" s="1">
        <f t="shared" si="186"/>
        <v>963.5419491600003</v>
      </c>
      <c r="X205" s="1">
        <f t="shared" si="187"/>
        <v>1601.8884904785004</v>
      </c>
      <c r="Y205" s="1">
        <f t="shared" si="188"/>
        <v>384.78712799999994</v>
      </c>
      <c r="Z205" s="1">
        <f t="shared" si="189"/>
        <v>307.8297024</v>
      </c>
      <c r="AA205" s="1">
        <f t="shared" si="190"/>
        <v>511.76688023999986</v>
      </c>
      <c r="AB205" s="1">
        <f t="shared" si="219"/>
        <v>17777.77747494</v>
      </c>
      <c r="AC205" s="1">
        <f t="shared" si="220"/>
        <v>14222.221979952</v>
      </c>
      <c r="AD205" s="1">
        <f t="shared" si="221"/>
        <v>23644.444041670202</v>
      </c>
      <c r="AE205" s="1">
        <f t="shared" si="222"/>
        <v>10416.256787492503</v>
      </c>
      <c r="AF205" s="1">
        <f t="shared" si="223"/>
        <v>8333.005429994002</v>
      </c>
      <c r="AG205" s="1">
        <f t="shared" si="224"/>
        <v>13853.621527365027</v>
      </c>
      <c r="AP205" t="s">
        <v>229</v>
      </c>
      <c r="AQ205" s="22" t="s">
        <v>224</v>
      </c>
      <c r="AR205">
        <v>1457527</v>
      </c>
      <c r="AS205" s="1">
        <f>AR205*0.025</f>
        <v>36438.175</v>
      </c>
      <c r="AT205" s="1">
        <f t="shared" si="227"/>
        <v>29150.540000000005</v>
      </c>
      <c r="AU205" s="1">
        <f t="shared" si="228"/>
        <v>48462.772750000004</v>
      </c>
      <c r="AV205" s="1">
        <f t="shared" si="245"/>
        <v>9728.992725000002</v>
      </c>
      <c r="AW205" s="1">
        <f t="shared" si="246"/>
        <v>7287.635000000001</v>
      </c>
      <c r="AX205" s="1">
        <f t="shared" si="247"/>
        <v>17016.627725000002</v>
      </c>
      <c r="AY205" s="1">
        <f t="shared" si="193"/>
        <v>1780.4056686750002</v>
      </c>
      <c r="AZ205" s="1">
        <f t="shared" si="194"/>
        <v>1040.753937680658</v>
      </c>
      <c r="BA205" s="1">
        <f t="shared" si="195"/>
        <v>2457.6719850389704</v>
      </c>
      <c r="BB205" s="1">
        <f t="shared" si="196"/>
        <v>564.2815780500001</v>
      </c>
      <c r="BC205" s="1">
        <f t="shared" si="197"/>
        <v>0</v>
      </c>
      <c r="BD205" s="1">
        <f t="shared" si="198"/>
        <v>1351.510807587555</v>
      </c>
      <c r="BE205" s="1">
        <f>AV205*0.28</f>
        <v>2724.1179630000006</v>
      </c>
      <c r="BF205" s="1">
        <f>BE205*0.514</f>
        <v>1400.1966329820004</v>
      </c>
      <c r="BG205" s="1">
        <f>BE205*1.971</f>
        <v>5369.236505073001</v>
      </c>
      <c r="BH205" s="1">
        <f>AV205*0.17</f>
        <v>1653.9287632500004</v>
      </c>
      <c r="BI205" s="1">
        <f>BH205*0.429</f>
        <v>709.5354394342502</v>
      </c>
      <c r="BJ205" s="1">
        <f>BH205*2.429</f>
        <v>4017.3929659342507</v>
      </c>
      <c r="BL205" s="2">
        <v>0.92</v>
      </c>
      <c r="BM205" s="2">
        <v>0.91</v>
      </c>
      <c r="BO205" s="1">
        <f t="shared" si="199"/>
        <v>840.7075567483352</v>
      </c>
      <c r="BP205" s="1">
        <f t="shared" si="200"/>
        <v>491.4440093728067</v>
      </c>
      <c r="BQ205" s="1">
        <f t="shared" si="201"/>
        <v>1160.512711335402</v>
      </c>
      <c r="BR205" s="1">
        <f t="shared" si="202"/>
        <v>148.97033660520003</v>
      </c>
      <c r="BS205" s="1">
        <f t="shared" si="203"/>
        <v>0</v>
      </c>
      <c r="BT205" s="1">
        <f t="shared" si="204"/>
        <v>356.7988532031144</v>
      </c>
      <c r="BU205" s="1">
        <f t="shared" si="205"/>
        <v>2724.1179630000006</v>
      </c>
      <c r="BV205" s="1">
        <f t="shared" si="206"/>
        <v>1400.1966329820004</v>
      </c>
      <c r="BW205" s="1">
        <f t="shared" si="207"/>
        <v>5369.236505073001</v>
      </c>
      <c r="BX205" s="1">
        <f t="shared" si="208"/>
        <v>1653.9287632500004</v>
      </c>
      <c r="BY205" s="1">
        <f t="shared" si="209"/>
        <v>709.5354394342502</v>
      </c>
      <c r="BZ205" s="1">
        <f t="shared" si="210"/>
        <v>4017.3929659342507</v>
      </c>
      <c r="CA205" s="1">
        <f t="shared" si="211"/>
        <v>8373.983371628536</v>
      </c>
      <c r="CB205" s="1">
        <f t="shared" si="212"/>
        <v>6738.32507169215</v>
      </c>
      <c r="CC205" s="1">
        <f t="shared" si="213"/>
        <v>14724.756496911994</v>
      </c>
      <c r="CD205" s="1">
        <f t="shared" si="236"/>
        <v>32776.138412500004</v>
      </c>
      <c r="CE205" s="1">
        <f t="shared" si="237"/>
        <v>26220.910730000003</v>
      </c>
      <c r="CF205" s="1">
        <f t="shared" si="238"/>
        <v>43592.264088625</v>
      </c>
      <c r="CG205" t="s">
        <v>229</v>
      </c>
      <c r="CH205" s="22" t="s">
        <v>224</v>
      </c>
      <c r="CI205">
        <v>1457527</v>
      </c>
      <c r="CJ205" s="102">
        <v>2.253241</v>
      </c>
      <c r="CK205" s="1">
        <v>37.77766</v>
      </c>
      <c r="CL205" s="1">
        <f t="shared" si="214"/>
        <v>40.030901</v>
      </c>
      <c r="CM205" s="1">
        <v>2.10145473054588</v>
      </c>
      <c r="CN205" s="1">
        <v>35.8798811616954</v>
      </c>
      <c r="CO205" s="1">
        <f t="shared" si="215"/>
        <v>37.98133589224128</v>
      </c>
      <c r="CP205" s="1">
        <f t="shared" si="239"/>
        <v>7.15622287291528</v>
      </c>
      <c r="CQ205" s="1">
        <f t="shared" si="240"/>
        <v>3.447102202735569</v>
      </c>
      <c r="CR205" s="1">
        <f t="shared" si="241"/>
        <v>10.75802456150885</v>
      </c>
      <c r="CS205" s="1">
        <f t="shared" si="242"/>
        <v>2.5271949411687538</v>
      </c>
      <c r="CT205" s="1">
        <f t="shared" si="243"/>
        <v>0.3097013895269548</v>
      </c>
      <c r="CU205" s="1">
        <f t="shared" si="244"/>
        <v>4.925811029158986</v>
      </c>
    </row>
    <row r="206" spans="1:99" ht="12.75">
      <c r="A206" s="144"/>
      <c r="B206" s="136"/>
      <c r="C206" s="133"/>
      <c r="D206" s="137"/>
      <c r="E206" s="141"/>
      <c r="V206" s="1">
        <f t="shared" si="185"/>
        <v>65.42375000000001</v>
      </c>
      <c r="W206" s="1">
        <f t="shared" si="186"/>
        <v>52.339000000000006</v>
      </c>
      <c r="X206" s="1">
        <f t="shared" si="187"/>
        <v>87.01358750000001</v>
      </c>
      <c r="Y206" s="1">
        <f t="shared" si="188"/>
        <v>8.9724</v>
      </c>
      <c r="Z206" s="1">
        <f t="shared" si="189"/>
        <v>7.17792</v>
      </c>
      <c r="AA206" s="1">
        <f t="shared" si="190"/>
        <v>11.933292000000002</v>
      </c>
      <c r="AB206" s="1">
        <f t="shared" si="219"/>
        <v>487.6768572</v>
      </c>
      <c r="AC206" s="1">
        <f t="shared" si="220"/>
        <v>390.14148576</v>
      </c>
      <c r="AD206" s="1">
        <f t="shared" si="221"/>
        <v>648.6102200759999</v>
      </c>
      <c r="AE206" s="1">
        <f t="shared" si="222"/>
        <v>285.73691965</v>
      </c>
      <c r="AF206" s="1">
        <f t="shared" si="223"/>
        <v>228.58953572000004</v>
      </c>
      <c r="AG206" s="1">
        <f t="shared" si="224"/>
        <v>380.0301031345</v>
      </c>
      <c r="AP206" t="s">
        <v>223</v>
      </c>
      <c r="AQ206" s="22" t="s">
        <v>224</v>
      </c>
      <c r="AR206">
        <v>37385</v>
      </c>
      <c r="AS206" s="1">
        <f>AR206*0.025</f>
        <v>934.625</v>
      </c>
      <c r="AT206" s="1">
        <f t="shared" si="227"/>
        <v>747.7</v>
      </c>
      <c r="AU206" s="1">
        <f t="shared" si="228"/>
        <v>1243.05125</v>
      </c>
      <c r="AV206" s="1">
        <f t="shared" si="245"/>
        <v>249.54487500000002</v>
      </c>
      <c r="AW206" s="1">
        <f t="shared" si="246"/>
        <v>186.925</v>
      </c>
      <c r="AX206" s="1">
        <f t="shared" si="247"/>
        <v>436.469875</v>
      </c>
      <c r="AY206" s="1">
        <f t="shared" si="193"/>
        <v>45.666712125000004</v>
      </c>
      <c r="AZ206" s="1">
        <f t="shared" si="194"/>
        <v>26.69493323979</v>
      </c>
      <c r="BA206" s="1">
        <f t="shared" si="195"/>
        <v>63.038329417350006</v>
      </c>
      <c r="BB206" s="1">
        <f t="shared" si="196"/>
        <v>14.473602750000001</v>
      </c>
      <c r="BC206" s="1">
        <f t="shared" si="197"/>
        <v>0</v>
      </c>
      <c r="BD206" s="1">
        <f t="shared" si="198"/>
        <v>34.665725946525</v>
      </c>
      <c r="BE206" s="1">
        <f>AV206*0.28</f>
        <v>69.87256500000001</v>
      </c>
      <c r="BF206" s="1">
        <f>BE206*0.514</f>
        <v>35.91449841000001</v>
      </c>
      <c r="BG206" s="1">
        <f>BE206*1.971</f>
        <v>137.71882561500001</v>
      </c>
      <c r="BH206" s="1">
        <f>AV206*0.17</f>
        <v>42.42262875000001</v>
      </c>
      <c r="BI206" s="1">
        <f>BH206*0.429</f>
        <v>18.199307733750004</v>
      </c>
      <c r="BJ206" s="1">
        <f>BH206*2.429</f>
        <v>103.04456523375</v>
      </c>
      <c r="BL206" s="2">
        <v>0.95</v>
      </c>
      <c r="BM206" s="2">
        <v>0</v>
      </c>
      <c r="BO206" s="1">
        <f t="shared" si="199"/>
        <v>45.666712125000004</v>
      </c>
      <c r="BP206" s="1">
        <f t="shared" si="200"/>
        <v>26.69493323979</v>
      </c>
      <c r="BQ206" s="1">
        <f t="shared" si="201"/>
        <v>63.038329417350006</v>
      </c>
      <c r="BR206" s="1">
        <f t="shared" si="202"/>
        <v>3.4736646600000007</v>
      </c>
      <c r="BS206" s="1">
        <f t="shared" si="203"/>
        <v>0</v>
      </c>
      <c r="BT206" s="1">
        <f t="shared" si="204"/>
        <v>8.319774227166</v>
      </c>
      <c r="BU206" s="1">
        <f t="shared" si="205"/>
        <v>69.87256500000001</v>
      </c>
      <c r="BV206" s="1">
        <f t="shared" si="206"/>
        <v>35.91449841000001</v>
      </c>
      <c r="BW206" s="1">
        <f t="shared" si="207"/>
        <v>137.71882561500001</v>
      </c>
      <c r="BX206" s="1">
        <f t="shared" si="208"/>
        <v>42.42262875000001</v>
      </c>
      <c r="BY206" s="1">
        <f t="shared" si="209"/>
        <v>18.199307733750004</v>
      </c>
      <c r="BZ206" s="1">
        <f t="shared" si="210"/>
        <v>103.04456523375</v>
      </c>
      <c r="CA206" s="1">
        <f t="shared" si="211"/>
        <v>238.54493691000002</v>
      </c>
      <c r="CB206" s="1">
        <f t="shared" si="212"/>
        <v>186.925</v>
      </c>
      <c r="CC206" s="1">
        <f t="shared" si="213"/>
        <v>410.123923280641</v>
      </c>
      <c r="CD206" s="1">
        <f t="shared" si="236"/>
        <v>899.10925</v>
      </c>
      <c r="CE206" s="1">
        <f t="shared" si="237"/>
        <v>719.2874</v>
      </c>
      <c r="CF206" s="1">
        <f t="shared" si="238"/>
        <v>1195.8153025</v>
      </c>
      <c r="CG206" t="s">
        <v>223</v>
      </c>
      <c r="CH206" s="22" t="s">
        <v>224</v>
      </c>
      <c r="CI206">
        <v>37385</v>
      </c>
      <c r="CJ206" s="102">
        <v>0.8329586</v>
      </c>
      <c r="CK206" s="1">
        <v>1.875144</v>
      </c>
      <c r="CL206" s="1">
        <f t="shared" si="214"/>
        <v>2.7081026</v>
      </c>
      <c r="CM206" s="1">
        <v>0.8329586</v>
      </c>
      <c r="CN206" s="1">
        <v>1.797013</v>
      </c>
      <c r="CO206" s="1">
        <f t="shared" si="215"/>
        <v>2.6299716</v>
      </c>
      <c r="CP206" s="1">
        <f t="shared" si="239"/>
        <v>0.86683863936</v>
      </c>
      <c r="CQ206" s="1">
        <f t="shared" si="240"/>
        <v>0.4589300442</v>
      </c>
      <c r="CR206" s="1">
        <f t="shared" si="241"/>
        <v>1.1982150609600002</v>
      </c>
      <c r="CS206" s="1">
        <f t="shared" si="242"/>
        <v>0.1600522777477744</v>
      </c>
      <c r="CT206" s="1">
        <f t="shared" si="243"/>
        <v>0.019509823628726535</v>
      </c>
      <c r="CU206" s="1">
        <f t="shared" si="244"/>
        <v>0.31377378200255723</v>
      </c>
    </row>
    <row r="207" spans="22:99" ht="12.75">
      <c r="V207" s="1">
        <f t="shared" si="185"/>
        <v>9503.887750000002</v>
      </c>
      <c r="W207" s="1">
        <f t="shared" si="186"/>
        <v>7603.110200000002</v>
      </c>
      <c r="X207" s="1">
        <f t="shared" si="187"/>
        <v>12640.170707500003</v>
      </c>
      <c r="Y207" s="1">
        <f t="shared" si="188"/>
        <v>5430.793000000001</v>
      </c>
      <c r="Z207" s="1">
        <f t="shared" si="189"/>
        <v>4344.634400000001</v>
      </c>
      <c r="AA207" s="1">
        <f t="shared" si="190"/>
        <v>7222.954690000001</v>
      </c>
      <c r="AB207" s="1">
        <f t="shared" si="219"/>
        <v>73641.55308000001</v>
      </c>
      <c r="AC207" s="1">
        <f t="shared" si="220"/>
        <v>58913.24246400001</v>
      </c>
      <c r="AD207" s="1">
        <f t="shared" si="221"/>
        <v>97943.26559640002</v>
      </c>
      <c r="AE207" s="1">
        <f t="shared" si="222"/>
        <v>43147.65038500001</v>
      </c>
      <c r="AF207" s="1">
        <f t="shared" si="223"/>
        <v>34518.120308000005</v>
      </c>
      <c r="AG207" s="1">
        <f t="shared" si="224"/>
        <v>57386.37501205002</v>
      </c>
      <c r="AP207" t="s">
        <v>230</v>
      </c>
      <c r="AQ207" s="22" t="s">
        <v>224</v>
      </c>
      <c r="AR207">
        <v>5430793</v>
      </c>
      <c r="AS207" s="1">
        <f>AR207*0.025</f>
        <v>135769.825</v>
      </c>
      <c r="AT207" s="1">
        <f t="shared" si="227"/>
        <v>108615.86000000002</v>
      </c>
      <c r="AU207" s="1">
        <f t="shared" si="228"/>
        <v>180573.86725000004</v>
      </c>
      <c r="AV207" s="1">
        <f t="shared" si="245"/>
        <v>36250.543275</v>
      </c>
      <c r="AW207" s="1">
        <f t="shared" si="246"/>
        <v>27153.965000000004</v>
      </c>
      <c r="AX207" s="1">
        <f t="shared" si="247"/>
        <v>63404.50827500001</v>
      </c>
      <c r="AY207" s="1">
        <f t="shared" si="193"/>
        <v>6633.849419325001</v>
      </c>
      <c r="AZ207" s="1">
        <f t="shared" si="194"/>
        <v>3877.8830165606223</v>
      </c>
      <c r="BA207" s="1">
        <f t="shared" si="195"/>
        <v>9157.365738436232</v>
      </c>
      <c r="BB207" s="1">
        <f t="shared" si="196"/>
        <v>2102.5315099500003</v>
      </c>
      <c r="BC207" s="1">
        <f t="shared" si="197"/>
        <v>0</v>
      </c>
      <c r="BD207" s="1">
        <f t="shared" si="198"/>
        <v>5035.773219481245</v>
      </c>
      <c r="BE207" s="1">
        <f>AV207*0.28</f>
        <v>10150.152117000001</v>
      </c>
      <c r="BF207" s="1">
        <f>BE207*0.514</f>
        <v>5217.178188138001</v>
      </c>
      <c r="BG207" s="1">
        <f>BE207*1.971</f>
        <v>20005.949822607003</v>
      </c>
      <c r="BH207" s="1">
        <f>AV207*0.17</f>
        <v>6162.592356750001</v>
      </c>
      <c r="BI207" s="1">
        <f>BH207*0.429</f>
        <v>2643.7521210457503</v>
      </c>
      <c r="BJ207" s="1">
        <f>BH207*2.429</f>
        <v>14968.936834545751</v>
      </c>
      <c r="BL207" s="2">
        <v>0</v>
      </c>
      <c r="BM207" s="2">
        <v>0</v>
      </c>
      <c r="BO207" s="1">
        <f t="shared" si="199"/>
        <v>6633.849419325001</v>
      </c>
      <c r="BP207" s="1">
        <f t="shared" si="200"/>
        <v>3877.8830165606223</v>
      </c>
      <c r="BQ207" s="1">
        <f t="shared" si="201"/>
        <v>9157.365738436232</v>
      </c>
      <c r="BR207" s="1">
        <f t="shared" si="202"/>
        <v>2102.5315099500003</v>
      </c>
      <c r="BS207" s="1">
        <f t="shared" si="203"/>
        <v>0</v>
      </c>
      <c r="BT207" s="1">
        <f t="shared" si="204"/>
        <v>5035.773219481245</v>
      </c>
      <c r="BU207" s="1">
        <f t="shared" si="205"/>
        <v>10150.152117000001</v>
      </c>
      <c r="BV207" s="1">
        <f t="shared" si="206"/>
        <v>5217.178188138001</v>
      </c>
      <c r="BW207" s="1">
        <f t="shared" si="207"/>
        <v>20005.949822607003</v>
      </c>
      <c r="BX207" s="1">
        <f t="shared" si="208"/>
        <v>6162.592356750001</v>
      </c>
      <c r="BY207" s="1">
        <f t="shared" si="209"/>
        <v>2643.7521210457503</v>
      </c>
      <c r="BZ207" s="1">
        <f t="shared" si="210"/>
        <v>14968.936834545751</v>
      </c>
      <c r="CA207" s="1">
        <f t="shared" si="211"/>
        <v>36250.543275</v>
      </c>
      <c r="CB207" s="1">
        <f t="shared" si="212"/>
        <v>27153.965000000004</v>
      </c>
      <c r="CC207" s="1">
        <f t="shared" si="213"/>
        <v>63404.50827500001</v>
      </c>
      <c r="CD207" s="1">
        <f t="shared" si="236"/>
        <v>135769.825</v>
      </c>
      <c r="CE207" s="1">
        <f t="shared" si="237"/>
        <v>108615.86000000002</v>
      </c>
      <c r="CF207" s="1">
        <f t="shared" si="238"/>
        <v>180573.86725000004</v>
      </c>
      <c r="CG207" t="s">
        <v>230</v>
      </c>
      <c r="CH207" s="22" t="s">
        <v>224</v>
      </c>
      <c r="CI207">
        <v>5430793</v>
      </c>
      <c r="CJ207" s="102">
        <v>12.25024</v>
      </c>
      <c r="CK207" s="1">
        <v>193.7824</v>
      </c>
      <c r="CL207" s="1">
        <f t="shared" si="214"/>
        <v>206.03264</v>
      </c>
      <c r="CM207" s="1">
        <v>11.5110013793103</v>
      </c>
      <c r="CN207" s="1">
        <v>219.938163976288</v>
      </c>
      <c r="CO207" s="1">
        <f t="shared" si="215"/>
        <v>231.4491653555983</v>
      </c>
      <c r="CP207" s="1">
        <f t="shared" si="239"/>
        <v>76.2856449012052</v>
      </c>
      <c r="CQ207" s="1">
        <f t="shared" si="240"/>
        <v>40.3878793545519</v>
      </c>
      <c r="CR207" s="1">
        <f t="shared" si="241"/>
        <v>105.44823973601059</v>
      </c>
      <c r="CS207" s="1">
        <f t="shared" si="242"/>
        <v>49.206092554600204</v>
      </c>
      <c r="CT207" s="1">
        <f t="shared" si="243"/>
        <v>6.989764793739069</v>
      </c>
      <c r="CU207" s="1">
        <f t="shared" si="244"/>
        <v>83.50685886029987</v>
      </c>
    </row>
    <row r="208" spans="22:99" ht="12.75">
      <c r="V208" s="1">
        <f t="shared" si="185"/>
        <v>264.13278710000003</v>
      </c>
      <c r="W208" s="1">
        <f t="shared" si="186"/>
        <v>211.30622968000003</v>
      </c>
      <c r="X208" s="1">
        <f t="shared" si="187"/>
        <v>351.296606843</v>
      </c>
      <c r="Y208" s="1">
        <f t="shared" si="188"/>
        <v>89.848512</v>
      </c>
      <c r="Z208" s="1">
        <f t="shared" si="189"/>
        <v>71.87880959999998</v>
      </c>
      <c r="AA208" s="1">
        <f t="shared" si="190"/>
        <v>119.49852096000001</v>
      </c>
      <c r="AB208" s="1">
        <f t="shared" si="219"/>
        <v>3816.214467624</v>
      </c>
      <c r="AC208" s="1">
        <f t="shared" si="220"/>
        <v>3052.9715740992006</v>
      </c>
      <c r="AD208" s="1">
        <f t="shared" si="221"/>
        <v>5075.56524193992</v>
      </c>
      <c r="AE208" s="1">
        <f t="shared" si="222"/>
        <v>2235.9752172030003</v>
      </c>
      <c r="AF208" s="1">
        <f t="shared" si="223"/>
        <v>1788.7801737624004</v>
      </c>
      <c r="AG208" s="1">
        <f t="shared" si="224"/>
        <v>2973.8470388799906</v>
      </c>
      <c r="AP208" t="s">
        <v>231</v>
      </c>
      <c r="AQ208" s="22" t="s">
        <v>224</v>
      </c>
      <c r="AR208">
        <v>311974</v>
      </c>
      <c r="AS208" s="1">
        <f>AR208*0.025</f>
        <v>7799.35</v>
      </c>
      <c r="AT208" s="1">
        <f t="shared" si="227"/>
        <v>6239.4800000000005</v>
      </c>
      <c r="AU208" s="1">
        <f t="shared" si="228"/>
        <v>10373.1355</v>
      </c>
      <c r="AV208" s="1">
        <f t="shared" si="245"/>
        <v>2082.4264500000004</v>
      </c>
      <c r="AW208" s="1">
        <f t="shared" si="246"/>
        <v>1559.8700000000001</v>
      </c>
      <c r="AX208" s="1">
        <f t="shared" si="247"/>
        <v>3642.2964500000003</v>
      </c>
      <c r="AY208" s="1">
        <f t="shared" si="193"/>
        <v>381.08404035000007</v>
      </c>
      <c r="AZ208" s="1">
        <f t="shared" si="194"/>
        <v>222.76648662699603</v>
      </c>
      <c r="BA208" s="1">
        <f t="shared" si="195"/>
        <v>526.0484092991401</v>
      </c>
      <c r="BB208" s="1">
        <f t="shared" si="196"/>
        <v>120.78073410000003</v>
      </c>
      <c r="BC208" s="1">
        <f t="shared" si="197"/>
        <v>0</v>
      </c>
      <c r="BD208" s="1">
        <f t="shared" si="198"/>
        <v>289.28193624291004</v>
      </c>
      <c r="BE208" s="1">
        <f>AV208*0.28</f>
        <v>583.0794060000002</v>
      </c>
      <c r="BF208" s="1">
        <f>BE208*0.514</f>
        <v>299.7028146840001</v>
      </c>
      <c r="BG208" s="1">
        <f>BE208*1.971</f>
        <v>1149.2495092260003</v>
      </c>
      <c r="BH208" s="1">
        <f>AV208*0.17</f>
        <v>354.0124965000001</v>
      </c>
      <c r="BI208" s="1">
        <f>BH208*0.429</f>
        <v>151.87136099850005</v>
      </c>
      <c r="BJ208" s="1">
        <f>BH208*2.429</f>
        <v>859.8963539985002</v>
      </c>
      <c r="BL208" s="2">
        <v>0.89</v>
      </c>
      <c r="BM208" s="2">
        <v>0.89</v>
      </c>
      <c r="BO208" s="1">
        <f t="shared" si="199"/>
        <v>184.36845872133006</v>
      </c>
      <c r="BP208" s="1">
        <f t="shared" si="200"/>
        <v>107.77442623014069</v>
      </c>
      <c r="BQ208" s="1">
        <f t="shared" si="201"/>
        <v>254.50222041892397</v>
      </c>
      <c r="BR208" s="1">
        <f t="shared" si="202"/>
        <v>34.78485142080001</v>
      </c>
      <c r="BS208" s="1">
        <f t="shared" si="203"/>
        <v>0</v>
      </c>
      <c r="BT208" s="1">
        <f t="shared" si="204"/>
        <v>83.3131976379581</v>
      </c>
      <c r="BU208" s="1">
        <f t="shared" si="205"/>
        <v>583.0794060000002</v>
      </c>
      <c r="BV208" s="1">
        <f t="shared" si="206"/>
        <v>299.7028146840001</v>
      </c>
      <c r="BW208" s="1">
        <f t="shared" si="207"/>
        <v>1149.2495092260003</v>
      </c>
      <c r="BX208" s="1">
        <f t="shared" si="208"/>
        <v>354.0124965000001</v>
      </c>
      <c r="BY208" s="1">
        <f t="shared" si="209"/>
        <v>151.87136099850005</v>
      </c>
      <c r="BZ208" s="1">
        <f t="shared" si="210"/>
        <v>859.8963539985002</v>
      </c>
      <c r="CA208" s="1">
        <f t="shared" si="211"/>
        <v>1799.7149856921303</v>
      </c>
      <c r="CB208" s="1">
        <f t="shared" si="212"/>
        <v>1444.8779396031448</v>
      </c>
      <c r="CC208" s="1">
        <f t="shared" si="213"/>
        <v>3164.7815225148324</v>
      </c>
      <c r="CD208" s="1">
        <f t="shared" si="236"/>
        <v>7035.793635</v>
      </c>
      <c r="CE208" s="1">
        <f t="shared" si="237"/>
        <v>5628.634908000001</v>
      </c>
      <c r="CF208" s="1">
        <f t="shared" si="238"/>
        <v>9357.60553455</v>
      </c>
      <c r="CG208" t="s">
        <v>231</v>
      </c>
      <c r="CH208" s="22" t="s">
        <v>224</v>
      </c>
      <c r="CI208">
        <v>311974</v>
      </c>
      <c r="CJ208" s="102">
        <v>12.49315</v>
      </c>
      <c r="CK208" s="1">
        <v>19.48871</v>
      </c>
      <c r="CL208" s="1">
        <f t="shared" si="214"/>
        <v>31.98186</v>
      </c>
      <c r="CM208" s="1">
        <v>12.49315</v>
      </c>
      <c r="CN208" s="1">
        <v>18.9397322535211</v>
      </c>
      <c r="CO208" s="1">
        <f t="shared" si="215"/>
        <v>31.4328822535211</v>
      </c>
      <c r="CP208" s="1">
        <f t="shared" si="239"/>
        <v>6.039933956042776</v>
      </c>
      <c r="CQ208" s="1">
        <f t="shared" si="240"/>
        <v>2.91635783482938</v>
      </c>
      <c r="CR208" s="1">
        <f t="shared" si="241"/>
        <v>9.058889408025774</v>
      </c>
      <c r="CS208" s="1">
        <f t="shared" si="242"/>
        <v>2.2678910507449097</v>
      </c>
      <c r="CT208" s="1">
        <f t="shared" si="243"/>
        <v>0.27939837224764275</v>
      </c>
      <c r="CU208" s="1">
        <f t="shared" si="244"/>
        <v>4.39531376241845</v>
      </c>
    </row>
    <row r="209" spans="18:99" ht="12.75">
      <c r="R209" s="271"/>
      <c r="V209" s="1">
        <f t="shared" si="185"/>
        <v>403.46250000000003</v>
      </c>
      <c r="W209" s="1">
        <f t="shared" si="186"/>
        <v>322.77000000000004</v>
      </c>
      <c r="X209" s="1">
        <f t="shared" si="187"/>
        <v>536.605125</v>
      </c>
      <c r="Y209" s="1">
        <f t="shared" si="188"/>
        <v>230.55</v>
      </c>
      <c r="Z209" s="1">
        <f t="shared" si="189"/>
        <v>184.44</v>
      </c>
      <c r="AA209" s="1">
        <f t="shared" si="190"/>
        <v>306.6315</v>
      </c>
      <c r="AB209" s="1">
        <f t="shared" si="219"/>
        <v>3126.258</v>
      </c>
      <c r="AC209" s="1">
        <f t="shared" si="220"/>
        <v>2501.0063999999998</v>
      </c>
      <c r="AD209" s="1">
        <f t="shared" si="221"/>
        <v>4157.92314</v>
      </c>
      <c r="AE209" s="1">
        <f t="shared" si="222"/>
        <v>1831.7197500000002</v>
      </c>
      <c r="AF209" s="1">
        <f t="shared" si="223"/>
        <v>1465.3758</v>
      </c>
      <c r="AG209" s="1">
        <f t="shared" si="224"/>
        <v>2436.1872675000004</v>
      </c>
      <c r="AP209" t="s">
        <v>227</v>
      </c>
      <c r="AQ209" s="22" t="s">
        <v>224</v>
      </c>
      <c r="AR209">
        <v>230550</v>
      </c>
      <c r="AS209" s="1">
        <f>AR209*0.025</f>
        <v>5763.75</v>
      </c>
      <c r="AT209" s="1">
        <f t="shared" si="227"/>
        <v>4611</v>
      </c>
      <c r="AU209" s="1">
        <f t="shared" si="228"/>
        <v>7665.7875</v>
      </c>
      <c r="AV209" s="1">
        <f t="shared" si="245"/>
        <v>1538.92125</v>
      </c>
      <c r="AW209" s="1">
        <f t="shared" si="246"/>
        <v>1152.75</v>
      </c>
      <c r="AX209" s="1">
        <f t="shared" si="247"/>
        <v>2691.6712500000003</v>
      </c>
      <c r="AY209" s="1">
        <f t="shared" si="193"/>
        <v>281.62258875000003</v>
      </c>
      <c r="AZ209" s="1">
        <f t="shared" si="194"/>
        <v>164.6253004797</v>
      </c>
      <c r="BA209" s="1">
        <f t="shared" si="195"/>
        <v>388.75182151050006</v>
      </c>
      <c r="BB209" s="1">
        <f t="shared" si="196"/>
        <v>89.25743250000001</v>
      </c>
      <c r="BC209" s="1">
        <f t="shared" si="197"/>
        <v>0</v>
      </c>
      <c r="BD209" s="1">
        <f t="shared" si="198"/>
        <v>213.78047658075</v>
      </c>
      <c r="BE209" s="1">
        <f>AV209*0.28</f>
        <v>430.8979500000001</v>
      </c>
      <c r="BF209" s="1">
        <f>BE209*0.514</f>
        <v>221.48154630000005</v>
      </c>
      <c r="BG209" s="1">
        <f>BE209*1.971</f>
        <v>849.2998594500002</v>
      </c>
      <c r="BH209" s="1">
        <f>AV209*0.17</f>
        <v>261.61661250000003</v>
      </c>
      <c r="BI209" s="1">
        <f>BH209*0.429</f>
        <v>112.2335267625</v>
      </c>
      <c r="BJ209" s="1">
        <f>BH209*2.429</f>
        <v>635.4667517625</v>
      </c>
      <c r="BL209" s="2">
        <v>0</v>
      </c>
      <c r="BM209" s="2">
        <v>0</v>
      </c>
      <c r="BO209" s="1">
        <f t="shared" si="199"/>
        <v>281.62258875000003</v>
      </c>
      <c r="BP209" s="1">
        <f t="shared" si="200"/>
        <v>164.6253004797</v>
      </c>
      <c r="BQ209" s="1">
        <f t="shared" si="201"/>
        <v>388.75182151050006</v>
      </c>
      <c r="BR209" s="1">
        <f t="shared" si="202"/>
        <v>89.25743250000001</v>
      </c>
      <c r="BS209" s="1">
        <f t="shared" si="203"/>
        <v>0</v>
      </c>
      <c r="BT209" s="1">
        <f t="shared" si="204"/>
        <v>213.78047658075</v>
      </c>
      <c r="BU209" s="1">
        <f t="shared" si="205"/>
        <v>430.8979500000001</v>
      </c>
      <c r="BV209" s="1">
        <f t="shared" si="206"/>
        <v>221.48154630000005</v>
      </c>
      <c r="BW209" s="1">
        <f t="shared" si="207"/>
        <v>849.2998594500002</v>
      </c>
      <c r="BX209" s="1">
        <f t="shared" si="208"/>
        <v>261.61661250000003</v>
      </c>
      <c r="BY209" s="1">
        <f t="shared" si="209"/>
        <v>112.2335267625</v>
      </c>
      <c r="BZ209" s="1">
        <f t="shared" si="210"/>
        <v>635.4667517625</v>
      </c>
      <c r="CA209" s="1">
        <f t="shared" si="211"/>
        <v>1538.92125</v>
      </c>
      <c r="CB209" s="1">
        <f t="shared" si="212"/>
        <v>1152.75</v>
      </c>
      <c r="CC209" s="1">
        <f t="shared" si="213"/>
        <v>2691.6712500000003</v>
      </c>
      <c r="CD209" s="1">
        <f t="shared" si="236"/>
        <v>5763.75</v>
      </c>
      <c r="CE209" s="1">
        <f t="shared" si="237"/>
        <v>4611</v>
      </c>
      <c r="CF209" s="1">
        <f t="shared" si="238"/>
        <v>7665.7875</v>
      </c>
      <c r="CG209" t="s">
        <v>227</v>
      </c>
      <c r="CH209" s="22" t="s">
        <v>224</v>
      </c>
      <c r="CI209">
        <v>230550</v>
      </c>
      <c r="CJ209" s="102">
        <v>0</v>
      </c>
      <c r="CK209" s="1">
        <v>8.583814</v>
      </c>
      <c r="CL209" s="1">
        <f t="shared" si="214"/>
        <v>8.583814</v>
      </c>
      <c r="CM209" s="1">
        <v>0</v>
      </c>
      <c r="CN209" s="1">
        <v>9.18830794366197</v>
      </c>
      <c r="CO209" s="1">
        <f t="shared" si="215"/>
        <v>9.18830794366197</v>
      </c>
      <c r="CP209" s="1">
        <f t="shared" si="239"/>
        <v>3.028466298230985</v>
      </c>
      <c r="CQ209" s="1">
        <f t="shared" si="240"/>
        <v>1.6033597361690137</v>
      </c>
      <c r="CR209" s="1">
        <f t="shared" si="241"/>
        <v>4.186193099132393</v>
      </c>
      <c r="CS209" s="1">
        <f t="shared" si="242"/>
        <v>1.953434268822535</v>
      </c>
      <c r="CT209" s="1">
        <f t="shared" si="243"/>
        <v>0.2774868998985915</v>
      </c>
      <c r="CU209" s="1">
        <f t="shared" si="244"/>
        <v>3.315141506073239</v>
      </c>
    </row>
    <row r="210" spans="17:99" ht="12.75">
      <c r="Q210" s="272" t="s">
        <v>671</v>
      </c>
      <c r="R210" s="273"/>
      <c r="S210" s="274">
        <f>SUM(CD18:CD150)</f>
        <v>118298122.54303505</v>
      </c>
      <c r="V210" s="268">
        <f>SUM(V18:V209)</f>
        <v>8418427.992151923</v>
      </c>
      <c r="Y210" s="268">
        <f>SUM(Y18:Y209)</f>
        <v>3380677.650638331</v>
      </c>
      <c r="AB210" s="268">
        <f>SUM(AB18:AB209)</f>
        <v>35255192.20649606</v>
      </c>
      <c r="AE210" s="268">
        <f>SUM(AE18:AE209)</f>
        <v>20860268.173634294</v>
      </c>
      <c r="AR210" s="148">
        <f aca="true" t="shared" si="250" ref="AR210:AX210">SUM(AR18:AR209)</f>
        <v>633461336.8315861</v>
      </c>
      <c r="AS210" s="148">
        <f t="shared" si="250"/>
        <v>122578782.33694325</v>
      </c>
      <c r="AT210" s="148">
        <f t="shared" si="250"/>
        <v>61941573.35747166</v>
      </c>
      <c r="AU210" s="148">
        <f t="shared" si="250"/>
        <v>282011655.90399605</v>
      </c>
      <c r="AV210" s="148">
        <f t="shared" si="250"/>
        <v>14426998.944508476</v>
      </c>
      <c r="AW210" s="148">
        <f t="shared" si="250"/>
        <v>10067175.462555472</v>
      </c>
      <c r="AX210" s="148">
        <f t="shared" si="250"/>
        <v>40748828.037501305</v>
      </c>
      <c r="AY210" s="148">
        <f aca="true" t="shared" si="251" ref="AY210:BJ210">SUM(AY18:AY209)</f>
        <v>2640140.806845052</v>
      </c>
      <c r="AZ210" s="148">
        <f t="shared" si="251"/>
        <v>1543320.7100493428</v>
      </c>
      <c r="BA210" s="148">
        <f t="shared" si="251"/>
        <v>3644450.369768911</v>
      </c>
      <c r="BB210" s="148">
        <f t="shared" si="251"/>
        <v>836765.9387814917</v>
      </c>
      <c r="BC210" s="148">
        <f t="shared" si="251"/>
        <v>0</v>
      </c>
      <c r="BD210" s="148">
        <f t="shared" si="251"/>
        <v>2004138.0999755515</v>
      </c>
      <c r="BE210" s="148">
        <f t="shared" si="251"/>
        <v>3191088.233517604</v>
      </c>
      <c r="BF210" s="148">
        <f t="shared" si="251"/>
        <v>1674042.8341153054</v>
      </c>
      <c r="BG210" s="148">
        <f t="shared" si="251"/>
        <v>6102616.171322134</v>
      </c>
      <c r="BH210" s="148">
        <f t="shared" si="251"/>
        <v>982295.1560428909</v>
      </c>
      <c r="BI210" s="148">
        <f t="shared" si="251"/>
        <v>414172.0349950917</v>
      </c>
      <c r="BJ210" s="148">
        <f t="shared" si="251"/>
        <v>2698765.172013675</v>
      </c>
      <c r="BO210" s="148">
        <f aca="true" t="shared" si="252" ref="BO210:BZ210">SUM(BO18:BO209)</f>
        <v>2585024.0690803137</v>
      </c>
      <c r="BP210" s="148">
        <f t="shared" si="252"/>
        <v>1511101.6698215872</v>
      </c>
      <c r="BQ210" s="148">
        <f t="shared" si="252"/>
        <v>3568367.2249584636</v>
      </c>
      <c r="BR210" s="148">
        <f t="shared" si="252"/>
        <v>574408.4653025232</v>
      </c>
      <c r="BS210" s="148">
        <f t="shared" si="252"/>
        <v>0</v>
      </c>
      <c r="BT210" s="148">
        <f t="shared" si="252"/>
        <v>1375765.7152460732</v>
      </c>
      <c r="BU210" s="148">
        <f t="shared" si="252"/>
        <v>3191088.233517604</v>
      </c>
      <c r="BV210" s="148">
        <f t="shared" si="252"/>
        <v>1674042.8341153054</v>
      </c>
      <c r="BW210" s="148">
        <f t="shared" si="252"/>
        <v>6102616.171322134</v>
      </c>
      <c r="BX210" s="148">
        <f t="shared" si="252"/>
        <v>982295.1560428909</v>
      </c>
      <c r="BY210" s="148">
        <f t="shared" si="252"/>
        <v>414172.0349950917</v>
      </c>
      <c r="BZ210" s="148">
        <f t="shared" si="252"/>
        <v>2698765.172013675</v>
      </c>
      <c r="CA210" s="148">
        <f aca="true" t="shared" si="253" ref="CA210:CI210">SUM(CA18:CA209)</f>
        <v>14109524.733264768</v>
      </c>
      <c r="CB210" s="148">
        <f t="shared" si="253"/>
        <v>10034956.422327712</v>
      </c>
      <c r="CC210" s="148">
        <f t="shared" si="253"/>
        <v>40044372.507961355</v>
      </c>
      <c r="CD210" s="148">
        <f>SUM(CD18:CD209)</f>
        <v>120396230.33264558</v>
      </c>
      <c r="CE210" s="148">
        <f>SUM(CE18:CE209)</f>
        <v>60827547.503205925</v>
      </c>
      <c r="CF210" s="148">
        <f>SUM(CF18:CF209)</f>
        <v>277027040.1644907</v>
      </c>
      <c r="CG210" s="241" t="s">
        <v>559</v>
      </c>
      <c r="CH210" s="121"/>
      <c r="CI210" s="148">
        <f t="shared" si="253"/>
        <v>633461336.8315861</v>
      </c>
      <c r="CJ210" s="231">
        <f>SUM(CJ18:CJ209)</f>
        <v>324552.72100260004</v>
      </c>
      <c r="CK210" s="231">
        <f>SUM(CK18:CK209)</f>
        <v>1071443.5891782998</v>
      </c>
      <c r="CL210" s="231">
        <f>SUM(CL18:CL209)</f>
        <v>1395996.3101809009</v>
      </c>
      <c r="CM210" s="242">
        <v>730.667309598325</v>
      </c>
      <c r="CN210" s="242">
        <v>8470.48215109653</v>
      </c>
      <c r="CO210" s="282">
        <f t="shared" si="215"/>
        <v>9201.149460694854</v>
      </c>
      <c r="CP210" s="282">
        <f>((0.3296-(0.3296*BM210*0.58))/(1-(0.3296*BM210*0.58)))*CO210</f>
        <v>3032.698862245024</v>
      </c>
      <c r="CQ210" s="265">
        <f t="shared" si="240"/>
        <v>1605.600580891252</v>
      </c>
      <c r="CR210" s="265">
        <f t="shared" si="241"/>
        <v>4192.043694292575</v>
      </c>
      <c r="CS210" s="282">
        <f t="shared" si="242"/>
        <v>1956.164375343726</v>
      </c>
      <c r="CT210" s="265">
        <f t="shared" si="243"/>
        <v>277.8747137129846</v>
      </c>
      <c r="CU210" s="265">
        <f t="shared" si="244"/>
        <v>3319.7747254187034</v>
      </c>
    </row>
    <row r="211" spans="17:99" ht="15">
      <c r="Q211" s="275" t="s">
        <v>672</v>
      </c>
      <c r="R211" s="276"/>
      <c r="S211" s="277">
        <f>SUM(CD151:CD209)</f>
        <v>2098107.7896105</v>
      </c>
      <c r="V211" s="269">
        <f>V210/S212</f>
        <v>0.06992268752013624</v>
      </c>
      <c r="Y211" s="269">
        <f>Y210/S212</f>
        <v>0.028079597187534677</v>
      </c>
      <c r="AB211" s="269">
        <f>AB210/S170</f>
        <v>0.2876125168479022</v>
      </c>
      <c r="AE211" s="269">
        <f>AE210/S170</f>
        <v>0.17017845758434588</v>
      </c>
      <c r="AR211" s="146" t="s">
        <v>350</v>
      </c>
      <c r="AS211" s="146" t="s">
        <v>273</v>
      </c>
      <c r="AT211" s="147" t="s">
        <v>305</v>
      </c>
      <c r="AU211" s="147" t="s">
        <v>304</v>
      </c>
      <c r="AV211" s="148" t="s">
        <v>275</v>
      </c>
      <c r="AW211" s="147" t="s">
        <v>305</v>
      </c>
      <c r="AX211" s="147" t="s">
        <v>304</v>
      </c>
      <c r="AY211" s="146" t="s">
        <v>363</v>
      </c>
      <c r="AZ211" s="147" t="s">
        <v>305</v>
      </c>
      <c r="BA211" s="147" t="s">
        <v>304</v>
      </c>
      <c r="BB211" s="148" t="s">
        <v>364</v>
      </c>
      <c r="BC211" s="147" t="s">
        <v>305</v>
      </c>
      <c r="BD211" s="147" t="s">
        <v>304</v>
      </c>
      <c r="BE211" s="146" t="s">
        <v>365</v>
      </c>
      <c r="BF211" s="147" t="s">
        <v>305</v>
      </c>
      <c r="BG211" s="147" t="s">
        <v>304</v>
      </c>
      <c r="BH211" s="148" t="s">
        <v>366</v>
      </c>
      <c r="BI211" s="147" t="s">
        <v>305</v>
      </c>
      <c r="BJ211" s="147" t="s">
        <v>304</v>
      </c>
      <c r="BO211" s="146" t="s">
        <v>363</v>
      </c>
      <c r="BP211" s="147" t="s">
        <v>305</v>
      </c>
      <c r="BQ211" s="147" t="s">
        <v>304</v>
      </c>
      <c r="BR211" s="148" t="s">
        <v>364</v>
      </c>
      <c r="BS211" s="147" t="s">
        <v>305</v>
      </c>
      <c r="BT211" s="147" t="s">
        <v>304</v>
      </c>
      <c r="BU211" s="146" t="s">
        <v>365</v>
      </c>
      <c r="BV211" s="147" t="s">
        <v>305</v>
      </c>
      <c r="BW211" s="147" t="s">
        <v>304</v>
      </c>
      <c r="BX211" s="148" t="s">
        <v>366</v>
      </c>
      <c r="BY211" s="147" t="s">
        <v>305</v>
      </c>
      <c r="BZ211" s="147" t="s">
        <v>304</v>
      </c>
      <c r="CA211" s="147" t="s">
        <v>275</v>
      </c>
      <c r="CB211" s="146" t="s">
        <v>305</v>
      </c>
      <c r="CC211" s="171" t="s">
        <v>304</v>
      </c>
      <c r="CD211" s="147" t="s">
        <v>273</v>
      </c>
      <c r="CE211" s="146" t="s">
        <v>305</v>
      </c>
      <c r="CF211" s="171" t="s">
        <v>304</v>
      </c>
      <c r="CI211" s="147" t="s">
        <v>373</v>
      </c>
      <c r="CJ211" s="146" t="s">
        <v>504</v>
      </c>
      <c r="CK211" s="146" t="s">
        <v>505</v>
      </c>
      <c r="CL211" s="146" t="s">
        <v>506</v>
      </c>
      <c r="CM211" s="231">
        <f>SUM(CM18:CM210)</f>
        <v>317502.3264334912</v>
      </c>
      <c r="CN211" s="231">
        <f>SUM(CN18:CN210)</f>
        <v>939308.5406155292</v>
      </c>
      <c r="CO211" s="231">
        <f>SUM(CO18:CO210)</f>
        <v>1256810.867049019</v>
      </c>
      <c r="CP211" s="231">
        <f aca="true" t="shared" si="254" ref="CP211:CU211">SUM(CP18:CP210)</f>
        <v>411586.56234624167</v>
      </c>
      <c r="CQ211" s="231">
        <f t="shared" si="254"/>
        <v>217723.29892514474</v>
      </c>
      <c r="CR211" s="231">
        <f t="shared" si="254"/>
        <v>569381.4550389196</v>
      </c>
      <c r="CS211" s="231">
        <f t="shared" si="254"/>
        <v>197032.37495947734</v>
      </c>
      <c r="CT211" s="231">
        <f t="shared" si="254"/>
        <v>27125.34043910865</v>
      </c>
      <c r="CU211" s="231">
        <f t="shared" si="254"/>
        <v>344903.7109628563</v>
      </c>
    </row>
    <row r="212" spans="17:93" ht="12.75">
      <c r="Q212" s="278" t="s">
        <v>673</v>
      </c>
      <c r="R212" s="279"/>
      <c r="S212" s="280">
        <f>SUM(S210:S211)</f>
        <v>120396230.33264555</v>
      </c>
      <c r="V212" s="270" t="s">
        <v>635</v>
      </c>
      <c r="Y212" s="270" t="s">
        <v>634</v>
      </c>
      <c r="AB212" s="270" t="s">
        <v>633</v>
      </c>
      <c r="AE212" s="270" t="s">
        <v>636</v>
      </c>
      <c r="AT212" s="145"/>
      <c r="AU212" s="145"/>
      <c r="AV212" s="1"/>
      <c r="AY212" s="249">
        <f>AY210/AV210</f>
        <v>0.18300000000000008</v>
      </c>
      <c r="AZ212" s="245">
        <f>AZ210/AV210</f>
        <v>0.10697447999999998</v>
      </c>
      <c r="BA212" s="245">
        <f>BA210/AV210</f>
        <v>0.25261320000000015</v>
      </c>
      <c r="BB212" s="249">
        <f>BB210/AV210</f>
        <v>0.05800000000000001</v>
      </c>
      <c r="BC212" s="245">
        <f>BC210/AV210</f>
        <v>0</v>
      </c>
      <c r="BD212" s="245">
        <f>BD210/AV210</f>
        <v>0.13891580000000006</v>
      </c>
      <c r="BE212" s="249">
        <f>BE210/AV210</f>
        <v>0.22118863706802075</v>
      </c>
      <c r="BF212" s="245">
        <f>BF210/AV210</f>
        <v>0.11603541669021308</v>
      </c>
      <c r="BG212" s="245">
        <f>BG210/AV210</f>
        <v>0.4229996962497212</v>
      </c>
      <c r="BH212" s="249">
        <f>BH210/AV210</f>
        <v>0.0680872827274167</v>
      </c>
      <c r="BI212" s="245">
        <f>BI210/AV210</f>
        <v>0.028708121251560983</v>
      </c>
      <c r="BJ212" s="245">
        <f>BJ210/AV210</f>
        <v>0.18706351767225565</v>
      </c>
      <c r="BO212" s="249">
        <f>BO210/CA210</f>
        <v>0.18321127876021456</v>
      </c>
      <c r="BP212" s="245">
        <f>BP210/CA210</f>
        <v>0.10709798511207096</v>
      </c>
      <c r="BQ212" s="245">
        <f>BQ210/CA210</f>
        <v>0.2529048492006001</v>
      </c>
      <c r="BR212" s="249">
        <f>BR210/CA210</f>
        <v>0.040710688429376474</v>
      </c>
      <c r="BS212" s="245">
        <f>BS210/CA210</f>
        <v>0</v>
      </c>
      <c r="BT212" s="245">
        <f>BT210/CA210</f>
        <v>0.09750616985719959</v>
      </c>
      <c r="BU212" s="249">
        <f>BU210/CA210</f>
        <v>0.22616553667426229</v>
      </c>
      <c r="BV212" s="245">
        <f>BV210/CA210</f>
        <v>0.1186462950214449</v>
      </c>
      <c r="BW212" s="245">
        <f>BW210/CA210</f>
        <v>0.43251748635689624</v>
      </c>
      <c r="BX212" s="249">
        <f>BX210/CA210</f>
        <v>0.06961929438537509</v>
      </c>
      <c r="BY212" s="245">
        <f>BY210/CA210</f>
        <v>0.02935407413253511</v>
      </c>
      <c r="BZ212" s="245">
        <f>BZ210/CA210</f>
        <v>0.19127257813659995</v>
      </c>
      <c r="CM212" s="146" t="s">
        <v>504</v>
      </c>
      <c r="CN212" s="146" t="s">
        <v>505</v>
      </c>
      <c r="CO212" s="146" t="s">
        <v>506</v>
      </c>
    </row>
    <row r="213" spans="22:97" ht="12.75">
      <c r="V213"/>
      <c r="AT213"/>
      <c r="AU213"/>
      <c r="AY213"/>
      <c r="AZ213"/>
      <c r="BB213" s="2"/>
      <c r="BD213"/>
      <c r="BE213" s="1"/>
      <c r="BO213"/>
      <c r="BP213" s="1"/>
      <c r="BR213"/>
      <c r="CA213" s="2"/>
      <c r="CB213" s="2"/>
      <c r="CE213"/>
      <c r="CF213"/>
      <c r="CO213" s="1"/>
      <c r="CP213" s="1"/>
      <c r="CS213" s="1"/>
    </row>
    <row r="214" spans="22:59" ht="12.75">
      <c r="V214"/>
      <c r="AT214"/>
      <c r="AU214"/>
      <c r="AY214"/>
      <c r="AZ214"/>
      <c r="BA214"/>
      <c r="BC214" s="2"/>
      <c r="BD214" s="2"/>
      <c r="BG214" s="1"/>
    </row>
    <row r="215" spans="22:59" ht="13.5" thickBot="1">
      <c r="V215"/>
      <c r="AT215"/>
      <c r="AU215"/>
      <c r="AY215"/>
      <c r="AZ215"/>
      <c r="BA215"/>
      <c r="BC215" s="2"/>
      <c r="BD215" s="2"/>
      <c r="BG215" s="1"/>
    </row>
    <row r="216" spans="22:105" ht="13.5" thickBot="1">
      <c r="V216"/>
      <c r="AR216" s="162" t="s">
        <v>370</v>
      </c>
      <c r="AS216" s="163"/>
      <c r="AT216" s="163"/>
      <c r="AU216" s="164"/>
      <c r="AV216" s="165"/>
      <c r="AW216" s="166" t="s">
        <v>370</v>
      </c>
      <c r="AX216" s="163"/>
      <c r="AY216" s="163"/>
      <c r="AZ216" s="164"/>
      <c r="BA216" s="163"/>
      <c r="BB216" s="167"/>
      <c r="BC216" s="2"/>
      <c r="BD216" s="2"/>
      <c r="BG216" s="1"/>
      <c r="BO216" s="162" t="s">
        <v>374</v>
      </c>
      <c r="BP216" s="163"/>
      <c r="BQ216" s="163"/>
      <c r="BR216" s="164"/>
      <c r="BS216" s="165"/>
      <c r="BT216" s="166"/>
      <c r="BU216" s="162" t="s">
        <v>374</v>
      </c>
      <c r="BV216" s="163"/>
      <c r="BW216" s="163"/>
      <c r="BX216" s="164"/>
      <c r="BY216" s="165"/>
      <c r="BZ216" s="172"/>
      <c r="CA216" s="162" t="s">
        <v>374</v>
      </c>
      <c r="CB216" s="163"/>
      <c r="CC216" s="163"/>
      <c r="CD216" s="164"/>
      <c r="CE216" s="165"/>
      <c r="CF216" s="172"/>
      <c r="CG216" s="162" t="s">
        <v>374</v>
      </c>
      <c r="CH216" s="163"/>
      <c r="CI216" s="163"/>
      <c r="CJ216" s="164"/>
      <c r="CK216" s="165"/>
      <c r="CL216" s="172"/>
      <c r="CS216" s="162"/>
      <c r="CT216" s="163"/>
      <c r="CU216" s="163"/>
      <c r="CV216" s="164"/>
      <c r="CW216" s="165"/>
      <c r="CX216" s="166"/>
      <c r="CY216" s="166"/>
      <c r="CZ216" s="163"/>
      <c r="DA216" s="167"/>
    </row>
    <row r="217" spans="22:105" ht="12.75">
      <c r="V217"/>
      <c r="AR217" s="104" t="s">
        <v>296</v>
      </c>
      <c r="AS217" s="157" t="s">
        <v>275</v>
      </c>
      <c r="AT217" s="96" t="s">
        <v>367</v>
      </c>
      <c r="AU217" s="99" t="s">
        <v>282</v>
      </c>
      <c r="AV217" s="96" t="s">
        <v>368</v>
      </c>
      <c r="AW217" s="96" t="s">
        <v>282</v>
      </c>
      <c r="AX217" s="96" t="s">
        <v>279</v>
      </c>
      <c r="AY217" s="96" t="s">
        <v>282</v>
      </c>
      <c r="AZ217" s="96" t="s">
        <v>280</v>
      </c>
      <c r="BA217" s="96" t="s">
        <v>282</v>
      </c>
      <c r="BB217" s="160" t="s">
        <v>296</v>
      </c>
      <c r="BC217" s="96" t="s">
        <v>369</v>
      </c>
      <c r="BD217" s="2"/>
      <c r="BG217" s="1"/>
      <c r="BO217" s="104" t="s">
        <v>296</v>
      </c>
      <c r="BP217" s="104" t="s">
        <v>375</v>
      </c>
      <c r="BQ217" s="157" t="s">
        <v>273</v>
      </c>
      <c r="BR217" s="96" t="s">
        <v>305</v>
      </c>
      <c r="BS217" s="99" t="s">
        <v>304</v>
      </c>
      <c r="BT217" s="96" t="s">
        <v>356</v>
      </c>
      <c r="BU217" s="96" t="s">
        <v>305</v>
      </c>
      <c r="BV217" s="96" t="s">
        <v>304</v>
      </c>
      <c r="BW217" s="96" t="s">
        <v>363</v>
      </c>
      <c r="BX217" s="96" t="s">
        <v>305</v>
      </c>
      <c r="BY217" s="96" t="s">
        <v>304</v>
      </c>
      <c r="BZ217" s="96" t="s">
        <v>364</v>
      </c>
      <c r="CA217" s="96" t="s">
        <v>305</v>
      </c>
      <c r="CB217" s="96" t="s">
        <v>304</v>
      </c>
      <c r="CC217" s="173" t="s">
        <v>365</v>
      </c>
      <c r="CD217" s="174" t="s">
        <v>305</v>
      </c>
      <c r="CE217" s="174" t="s">
        <v>304</v>
      </c>
      <c r="CF217" s="173" t="s">
        <v>366</v>
      </c>
      <c r="CG217" s="174" t="s">
        <v>305</v>
      </c>
      <c r="CH217" s="174" t="s">
        <v>304</v>
      </c>
      <c r="CI217" s="173" t="s">
        <v>376</v>
      </c>
      <c r="CJ217" s="174" t="s">
        <v>305</v>
      </c>
      <c r="CK217" s="174" t="s">
        <v>304</v>
      </c>
      <c r="CL217" s="104" t="s">
        <v>296</v>
      </c>
      <c r="CM217" s="182" t="s">
        <v>377</v>
      </c>
      <c r="CN217" s="182" t="s">
        <v>378</v>
      </c>
      <c r="CO217" s="182" t="s">
        <v>379</v>
      </c>
      <c r="CP217" s="182" t="s">
        <v>380</v>
      </c>
      <c r="CQ217" s="182" t="s">
        <v>567</v>
      </c>
      <c r="CS217" s="104" t="s">
        <v>296</v>
      </c>
      <c r="CT217" s="104" t="s">
        <v>568</v>
      </c>
      <c r="CU217" s="157" t="s">
        <v>569</v>
      </c>
      <c r="CV217" s="96" t="s">
        <v>572</v>
      </c>
      <c r="CW217" s="96" t="s">
        <v>305</v>
      </c>
      <c r="CX217" s="96" t="s">
        <v>304</v>
      </c>
      <c r="CY217" s="96" t="s">
        <v>573</v>
      </c>
      <c r="CZ217" s="96" t="s">
        <v>305</v>
      </c>
      <c r="DA217" s="173" t="s">
        <v>304</v>
      </c>
    </row>
    <row r="218" spans="22:105" ht="12.75">
      <c r="V218"/>
      <c r="AO218" s="1"/>
      <c r="AR218" s="101" t="s">
        <v>297</v>
      </c>
      <c r="AS218" s="158">
        <f>SUM(AV18:AV63)</f>
        <v>4298171.398237919</v>
      </c>
      <c r="AT218" s="1">
        <f aca="true" t="shared" si="255" ref="AT218:AT223">AU218*AS218</f>
        <v>786565.3658775393</v>
      </c>
      <c r="AU218" s="2">
        <v>0.183</v>
      </c>
      <c r="AV218" s="1">
        <f aca="true" t="shared" si="256" ref="AV218:AV223">AW218*AS218</f>
        <v>249293.94109779934</v>
      </c>
      <c r="AW218" s="2">
        <v>0.058</v>
      </c>
      <c r="AX218" s="1">
        <v>560031.2004</v>
      </c>
      <c r="AY218" s="2">
        <f aca="true" t="shared" si="257" ref="AY218:AY224">AX218/AS218</f>
        <v>0.1302952229009738</v>
      </c>
      <c r="AZ218" s="102">
        <v>186677.06679999997</v>
      </c>
      <c r="BA218" s="2">
        <f aca="true" t="shared" si="258" ref="BA218:BA224">AZ218/AS218</f>
        <v>0.04343174096699126</v>
      </c>
      <c r="BB218" s="101" t="s">
        <v>297</v>
      </c>
      <c r="BC218" s="100">
        <f aca="true" t="shared" si="259" ref="BC218:BC224">AU218+AW218+AY218+BA218</f>
        <v>0.4147269638679651</v>
      </c>
      <c r="BD218" s="2"/>
      <c r="BG218" s="1"/>
      <c r="BO218" s="98" t="s">
        <v>297</v>
      </c>
      <c r="BP218" s="175">
        <f>SUM(CI18:CI63)</f>
        <v>133340761.79228154</v>
      </c>
      <c r="BQ218" s="175">
        <f>SUM(CD18:CD63)</f>
        <v>36412103.45138991</v>
      </c>
      <c r="BR218" s="175">
        <f>SUM(CE18:CE63)</f>
        <v>18206051.725694954</v>
      </c>
      <c r="BS218" s="175">
        <f>SUM(CF18:CF63)</f>
        <v>84409876.18276754</v>
      </c>
      <c r="BT218" s="175">
        <f>SUM(CA18:CA63)</f>
        <v>4166779.4950839607</v>
      </c>
      <c r="BU218" s="175">
        <f>SUM(CB18:CB63)</f>
        <v>2982848.3645002465</v>
      </c>
      <c r="BV218" s="175">
        <f>SUM(CC18:CC63)</f>
        <v>12031656.485933961</v>
      </c>
      <c r="BW218" s="175">
        <f aca="true" t="shared" si="260" ref="BW218:CH218">SUM(BO18:BO63)</f>
        <v>774275.9301740555</v>
      </c>
      <c r="BX218" s="175">
        <f t="shared" si="260"/>
        <v>452610.7377425458</v>
      </c>
      <c r="BY218" s="175">
        <f t="shared" si="260"/>
        <v>1068810.4940122662</v>
      </c>
      <c r="BZ218" s="175">
        <f t="shared" si="260"/>
        <v>130191.47364732434</v>
      </c>
      <c r="CA218" s="175">
        <f t="shared" si="260"/>
        <v>0</v>
      </c>
      <c r="CB218" s="175">
        <f t="shared" si="260"/>
        <v>311821.5985327065</v>
      </c>
      <c r="CC218" s="175">
        <f t="shared" si="260"/>
        <v>558762.2817709295</v>
      </c>
      <c r="CD218" s="175">
        <f t="shared" si="260"/>
        <v>359284.14717870776</v>
      </c>
      <c r="CE218" s="175">
        <f t="shared" si="260"/>
        <v>864964.0121813993</v>
      </c>
      <c r="CF218" s="175">
        <f t="shared" si="260"/>
        <v>171926.85592951675</v>
      </c>
      <c r="CG218" s="175">
        <f t="shared" si="260"/>
        <v>85963.42796475838</v>
      </c>
      <c r="CH218" s="175">
        <f t="shared" si="260"/>
        <v>307061.3646901172</v>
      </c>
      <c r="CI218" s="176">
        <f>BQ218/BP218</f>
        <v>0.273075561905914</v>
      </c>
      <c r="CJ218" s="177">
        <f>BR218/BP218</f>
        <v>0.136537780952957</v>
      </c>
      <c r="CK218" s="177">
        <f>BS218/BP218</f>
        <v>0.6330388026000735</v>
      </c>
      <c r="CL218" s="98" t="s">
        <v>297</v>
      </c>
      <c r="CM218" s="177">
        <f>BW218/BT218</f>
        <v>0.18582119142315062</v>
      </c>
      <c r="CN218" s="177">
        <f>BZ218/BT218</f>
        <v>0.0312451075947087</v>
      </c>
      <c r="CO218" s="177">
        <f>CC218/BT218</f>
        <v>0.13409931637375266</v>
      </c>
      <c r="CP218" s="177">
        <f>CF218/BT218</f>
        <v>0.04126132811500082</v>
      </c>
      <c r="CQ218" s="177">
        <f>SUM(CM218:CP218)</f>
        <v>0.3924269435066128</v>
      </c>
      <c r="CS218" s="98" t="s">
        <v>297</v>
      </c>
      <c r="CT218" s="175">
        <f>SUM(CL18:CL63)</f>
        <v>608478.5852523999</v>
      </c>
      <c r="CU218" s="175">
        <f aca="true" t="shared" si="261" ref="CU218:DA218">SUM(CO18:CO63)+CO210</f>
        <v>540648.7174288116</v>
      </c>
      <c r="CV218" s="257">
        <f t="shared" si="261"/>
        <v>176929.01658925324</v>
      </c>
      <c r="CW218" s="257">
        <f t="shared" si="261"/>
        <v>93585.25041063996</v>
      </c>
      <c r="CX218" s="257">
        <f t="shared" si="261"/>
        <v>244780.2389522341</v>
      </c>
      <c r="CY218" s="257">
        <f t="shared" si="261"/>
        <v>69509.87106135866</v>
      </c>
      <c r="CZ218" s="257">
        <f t="shared" si="261"/>
        <v>9279.919897858772</v>
      </c>
      <c r="DA218" s="257">
        <f t="shared" si="261"/>
        <v>125127.30988383865</v>
      </c>
    </row>
    <row r="219" spans="22:105" ht="12.75">
      <c r="V219"/>
      <c r="AO219" s="1"/>
      <c r="AP219" s="1"/>
      <c r="AQ219" s="1"/>
      <c r="AR219" s="101" t="s">
        <v>298</v>
      </c>
      <c r="AS219" s="158">
        <f>SUM(AV64:AV95)+SUM(AV151:AV153)</f>
        <v>837103.5626049258</v>
      </c>
      <c r="AT219" s="1">
        <f t="shared" si="255"/>
        <v>153189.95195670144</v>
      </c>
      <c r="AU219" s="2">
        <v>0.183</v>
      </c>
      <c r="AV219" s="1">
        <f t="shared" si="256"/>
        <v>48552.0066310857</v>
      </c>
      <c r="AW219" s="2">
        <v>0.058</v>
      </c>
      <c r="AX219" s="159">
        <v>422014</v>
      </c>
      <c r="AY219" s="137">
        <f t="shared" si="257"/>
        <v>0.5041359502601604</v>
      </c>
      <c r="AZ219" s="247">
        <v>80384</v>
      </c>
      <c r="BA219" s="137">
        <f t="shared" si="258"/>
        <v>0.09602635037158185</v>
      </c>
      <c r="BB219" s="101" t="s">
        <v>298</v>
      </c>
      <c r="BC219" s="100">
        <f t="shared" si="259"/>
        <v>0.8411623006317422</v>
      </c>
      <c r="BD219" s="2"/>
      <c r="BG219" s="1"/>
      <c r="BO219" s="98" t="s">
        <v>298</v>
      </c>
      <c r="BP219" s="175">
        <f>SUM(CI64:CI95)+SUM(CI151:CI153)</f>
        <v>76995699.8284285</v>
      </c>
      <c r="BQ219" s="175">
        <f>SUM(CD64:CD95)+SUM(CD151:CD153)</f>
        <v>6414750.584280564</v>
      </c>
      <c r="BR219" s="175">
        <f>SUM(CE64:CE95)+SUM(CE151:CE153)</f>
        <v>3311416.669994382</v>
      </c>
      <c r="BS219" s="175">
        <f>SUM(CF64:CF95)+SUM(CF151:CF153)</f>
        <v>14527852.179537052</v>
      </c>
      <c r="BT219" s="175">
        <f>SUM(CA64:CA95)+SUM(CA151:CA153)</f>
        <v>776809.5409364249</v>
      </c>
      <c r="BU219" s="175">
        <f>SUM(CB64:CB95)+SUM(CB151:CB153)</f>
        <v>572238.4470287095</v>
      </c>
      <c r="BV219" s="175">
        <f>SUM(CC64:CC95)+SUM(CC151:CC153)</f>
        <v>2176017.058519346</v>
      </c>
      <c r="BW219" s="175">
        <f aca="true" t="shared" si="262" ref="BW219:CH219">SUM(BO64:BO95)+SUM(BO151:BO153)</f>
        <v>127100.94934020385</v>
      </c>
      <c r="BX219" s="175">
        <f t="shared" si="262"/>
        <v>74298.13094630954</v>
      </c>
      <c r="BY219" s="175">
        <f t="shared" si="262"/>
        <v>175450.15046921733</v>
      </c>
      <c r="BZ219" s="175">
        <f t="shared" si="262"/>
        <v>14346.987579082397</v>
      </c>
      <c r="CA219" s="175">
        <f t="shared" si="262"/>
        <v>0</v>
      </c>
      <c r="CB219" s="175">
        <f t="shared" si="262"/>
        <v>34362.46995066025</v>
      </c>
      <c r="CC219" s="175">
        <f t="shared" si="262"/>
        <v>418551.7813024629</v>
      </c>
      <c r="CD219" s="175">
        <f t="shared" si="262"/>
        <v>205927.4764008117</v>
      </c>
      <c r="CE219" s="175">
        <f t="shared" si="262"/>
        <v>837103.5626049258</v>
      </c>
      <c r="CF219" s="175">
        <f t="shared" si="262"/>
        <v>83710.35626049258</v>
      </c>
      <c r="CG219" s="175">
        <f t="shared" si="262"/>
        <v>55834.80762574855</v>
      </c>
      <c r="CH219" s="175">
        <f t="shared" si="262"/>
        <v>125565.53439073887</v>
      </c>
      <c r="CI219" s="176">
        <f aca="true" t="shared" si="263" ref="CI219:CI224">BQ219/BP219</f>
        <v>0.08331310188198456</v>
      </c>
      <c r="CJ219" s="177">
        <f aca="true" t="shared" si="264" ref="CJ219:CJ224">BR219/BP219</f>
        <v>0.043007813129477324</v>
      </c>
      <c r="CK219" s="177">
        <f aca="true" t="shared" si="265" ref="CK219:CK224">BS219/BP219</f>
        <v>0.18868394224495444</v>
      </c>
      <c r="CL219" s="98" t="s">
        <v>298</v>
      </c>
      <c r="CM219" s="177">
        <f aca="true" t="shared" si="266" ref="CM219:CM224">BW219/BT219</f>
        <v>0.16361919188967064</v>
      </c>
      <c r="CN219" s="177">
        <f aca="true" t="shared" si="267" ref="CN219:CN224">BZ219/BT219</f>
        <v>0.01846911864880992</v>
      </c>
      <c r="CO219" s="177">
        <f aca="true" t="shared" si="268" ref="CO219:CO224">CC219/BT219</f>
        <v>0.5388087545859813</v>
      </c>
      <c r="CP219" s="177">
        <f aca="true" t="shared" si="269" ref="CP219:CP224">CF219/BT219</f>
        <v>0.10776175091719625</v>
      </c>
      <c r="CQ219" s="177">
        <f aca="true" t="shared" si="270" ref="CQ219:CQ224">SUM(CM219:CP219)</f>
        <v>0.8286588160416581</v>
      </c>
      <c r="CS219" s="98" t="s">
        <v>298</v>
      </c>
      <c r="CT219" s="175">
        <f>SUM(CL64:CL95)+SUM(CL151:CL153)</f>
        <v>26624.4960884</v>
      </c>
      <c r="CU219" s="175">
        <f aca="true" t="shared" si="271" ref="CU219:DA219">SUM(CO64:CO95)+SUM(CO151:CO153)</f>
        <v>23937.306887971034</v>
      </c>
      <c r="CV219" s="257">
        <f t="shared" si="271"/>
        <v>6972.329932398135</v>
      </c>
      <c r="CW219" s="257">
        <f t="shared" si="271"/>
        <v>3624.711369089301</v>
      </c>
      <c r="CX219" s="257">
        <f t="shared" si="271"/>
        <v>9800.272995826484</v>
      </c>
      <c r="CY219" s="257">
        <f t="shared" si="271"/>
        <v>2203.3409304074476</v>
      </c>
      <c r="CZ219" s="257">
        <f t="shared" si="271"/>
        <v>287.39118830398235</v>
      </c>
      <c r="DA219" s="257">
        <f t="shared" si="271"/>
        <v>4069.0235024151193</v>
      </c>
    </row>
    <row r="220" spans="22:105" ht="12.75">
      <c r="V220"/>
      <c r="AO220" s="1"/>
      <c r="AP220" s="1"/>
      <c r="AQ220" s="1"/>
      <c r="AR220" s="101" t="s">
        <v>299</v>
      </c>
      <c r="AS220" s="158">
        <f>SUM(AV96:AV117)</f>
        <v>1942722.054871411</v>
      </c>
      <c r="AT220" s="1">
        <f t="shared" si="255"/>
        <v>355518.13604146824</v>
      </c>
      <c r="AU220" s="2">
        <v>0.183</v>
      </c>
      <c r="AV220" s="1">
        <f t="shared" si="256"/>
        <v>112677.87918254184</v>
      </c>
      <c r="AW220" s="2">
        <v>0.058</v>
      </c>
      <c r="AX220" s="1">
        <v>355541</v>
      </c>
      <c r="AY220" s="2">
        <f t="shared" si="257"/>
        <v>0.18301176903225783</v>
      </c>
      <c r="AZ220" s="102">
        <v>146982</v>
      </c>
      <c r="BA220" s="2">
        <f t="shared" si="258"/>
        <v>0.07565776052803845</v>
      </c>
      <c r="BB220" s="101" t="s">
        <v>299</v>
      </c>
      <c r="BC220" s="100">
        <f t="shared" si="259"/>
        <v>0.49966952956029625</v>
      </c>
      <c r="BD220" s="2"/>
      <c r="BG220" s="1"/>
      <c r="BO220" s="98" t="s">
        <v>299</v>
      </c>
      <c r="BP220" s="175">
        <f>SUM(CI96:CI117)</f>
        <v>72151965</v>
      </c>
      <c r="BQ220" s="175">
        <f>SUM(CD96:CD117)</f>
        <v>16402193.296430485</v>
      </c>
      <c r="BR220" s="175">
        <f>SUM(CE96:CE117)</f>
        <v>8201096.648215243</v>
      </c>
      <c r="BS220" s="175">
        <f>SUM(CF96:CF117)</f>
        <v>38023266.27808885</v>
      </c>
      <c r="BT220" s="175">
        <f>SUM(CA96:CA117)</f>
        <v>1875744.1576971216</v>
      </c>
      <c r="BU220" s="175">
        <f>SUM(CB96:CB117)</f>
        <v>1347794.5734961666</v>
      </c>
      <c r="BV220" s="175">
        <f>SUM(CC96:CC117)</f>
        <v>5420709.404712824</v>
      </c>
      <c r="BW220" s="175">
        <f aca="true" t="shared" si="272" ref="BW220:CH220">SUM(BO96:BO117)</f>
        <v>349249.75078769604</v>
      </c>
      <c r="BX220" s="175">
        <f t="shared" si="272"/>
        <v>204157.43432045553</v>
      </c>
      <c r="BY220" s="175">
        <f t="shared" si="272"/>
        <v>482104.35598733556</v>
      </c>
      <c r="BZ220" s="175">
        <f t="shared" si="272"/>
        <v>51968.367262024236</v>
      </c>
      <c r="CA220" s="175">
        <f t="shared" si="272"/>
        <v>0</v>
      </c>
      <c r="CB220" s="175">
        <f t="shared" si="272"/>
        <v>124469.43642927424</v>
      </c>
      <c r="CC220" s="175">
        <f t="shared" si="272"/>
        <v>349689.969876854</v>
      </c>
      <c r="CD220" s="175">
        <f t="shared" si="272"/>
        <v>168550.5654806436</v>
      </c>
      <c r="CE220" s="175">
        <f t="shared" si="272"/>
        <v>715465.6783680433</v>
      </c>
      <c r="CF220" s="175">
        <f t="shared" si="272"/>
        <v>155417.76438971286</v>
      </c>
      <c r="CG220" s="175">
        <f t="shared" si="272"/>
        <v>55639.559651517215</v>
      </c>
      <c r="CH220" s="175">
        <f t="shared" si="272"/>
        <v>499668.1125129269</v>
      </c>
      <c r="CI220" s="176">
        <f t="shared" si="263"/>
        <v>0.22732843514976322</v>
      </c>
      <c r="CJ220" s="177">
        <f t="shared" si="264"/>
        <v>0.11366421757488161</v>
      </c>
      <c r="CK220" s="177">
        <f t="shared" si="265"/>
        <v>0.5269886451199056</v>
      </c>
      <c r="CL220" s="98" t="s">
        <v>299</v>
      </c>
      <c r="CM220" s="177">
        <f t="shared" si="266"/>
        <v>0.18619263685537746</v>
      </c>
      <c r="CN220" s="177">
        <f t="shared" si="267"/>
        <v>0.027705466680395557</v>
      </c>
      <c r="CO220" s="177">
        <f t="shared" si="268"/>
        <v>0.1864273272247178</v>
      </c>
      <c r="CP220" s="177">
        <f t="shared" si="269"/>
        <v>0.08285658987765235</v>
      </c>
      <c r="CQ220" s="177">
        <f t="shared" si="270"/>
        <v>0.4831820206381432</v>
      </c>
      <c r="CS220" s="98" t="s">
        <v>299</v>
      </c>
      <c r="CT220" s="175">
        <f>SUM(CL96:CL117)</f>
        <v>207885.53969789995</v>
      </c>
      <c r="CU220" s="175">
        <f aca="true" t="shared" si="273" ref="CU220:DA220">SUM(CO96:CO117)</f>
        <v>168408.32071684604</v>
      </c>
      <c r="CV220" s="257">
        <f t="shared" si="273"/>
        <v>55432.76408155637</v>
      </c>
      <c r="CW220" s="257">
        <f t="shared" si="273"/>
        <v>29343.11275054876</v>
      </c>
      <c r="CX220" s="257">
        <f t="shared" si="273"/>
        <v>76635.413203933</v>
      </c>
      <c r="CY220" s="257">
        <f t="shared" si="273"/>
        <v>19104.73847951422</v>
      </c>
      <c r="CZ220" s="257">
        <f t="shared" si="273"/>
        <v>2519.084701178403</v>
      </c>
      <c r="DA220" s="257">
        <f t="shared" si="273"/>
        <v>34834.21275464801</v>
      </c>
    </row>
    <row r="221" spans="22:105" ht="12.75">
      <c r="V221"/>
      <c r="AO221" s="1"/>
      <c r="AP221" s="1"/>
      <c r="AQ221" s="1"/>
      <c r="AR221" s="101" t="s">
        <v>300</v>
      </c>
      <c r="AS221" s="158">
        <f>SUM(AV118:AV128)</f>
        <v>5469894.601707071</v>
      </c>
      <c r="AT221" s="1">
        <f t="shared" si="255"/>
        <v>1000990.7121123939</v>
      </c>
      <c r="AU221" s="2">
        <v>0.183</v>
      </c>
      <c r="AV221" s="1">
        <f t="shared" si="256"/>
        <v>317253.88689901016</v>
      </c>
      <c r="AW221" s="2">
        <v>0.058</v>
      </c>
      <c r="AX221" s="1">
        <v>1186437.4368</v>
      </c>
      <c r="AY221" s="2">
        <f t="shared" si="257"/>
        <v>0.216903162344249</v>
      </c>
      <c r="AZ221" s="102">
        <v>251668.5472</v>
      </c>
      <c r="BA221" s="2">
        <f t="shared" si="258"/>
        <v>0.04600976170938615</v>
      </c>
      <c r="BB221" s="101" t="s">
        <v>300</v>
      </c>
      <c r="BC221" s="100">
        <f t="shared" si="259"/>
        <v>0.5039129240536352</v>
      </c>
      <c r="BD221" s="2"/>
      <c r="BG221" s="1"/>
      <c r="BO221" s="98" t="s">
        <v>300</v>
      </c>
      <c r="BP221" s="175">
        <f>SUM(CI118:CI128)</f>
        <v>179956087</v>
      </c>
      <c r="BQ221" s="175">
        <f>SUM(CD118:CD128)</f>
        <v>47369275.21949148</v>
      </c>
      <c r="BR221" s="175">
        <f>SUM(CE118:CE128)</f>
        <v>23684637.60974574</v>
      </c>
      <c r="BS221" s="175">
        <f>SUM(CF118:CF128)</f>
        <v>109810592.5542757</v>
      </c>
      <c r="BT221" s="175">
        <f>SUM(CA118:CA128)</f>
        <v>5443878.178007032</v>
      </c>
      <c r="BU221" s="175">
        <f>SUM(CB118:CB128)</f>
        <v>3805144.0707527455</v>
      </c>
      <c r="BV221" s="175">
        <f>SUM(CC118:CC128)</f>
        <v>15633907.355451109</v>
      </c>
      <c r="BW221" s="175">
        <f aca="true" t="shared" si="274" ref="BW221:CH221">SUM(BO118:BO128)</f>
        <v>1000990.7121123942</v>
      </c>
      <c r="BX221" s="175">
        <f t="shared" si="274"/>
        <v>585139.1306724212</v>
      </c>
      <c r="BY221" s="175">
        <f t="shared" si="274"/>
        <v>1381767.5789999487</v>
      </c>
      <c r="BZ221" s="175">
        <f t="shared" si="274"/>
        <v>291237.46319897054</v>
      </c>
      <c r="CA221" s="175">
        <f t="shared" si="274"/>
        <v>0</v>
      </c>
      <c r="CB221" s="175">
        <f t="shared" si="274"/>
        <v>697542.8481078543</v>
      </c>
      <c r="CC221" s="175">
        <f t="shared" si="274"/>
        <v>1203376.8123755557</v>
      </c>
      <c r="CD221" s="175">
        <f t="shared" si="274"/>
        <v>541519.5655690002</v>
      </c>
      <c r="CE221" s="175">
        <f t="shared" si="274"/>
        <v>2552362.2190485536</v>
      </c>
      <c r="CF221" s="175">
        <f t="shared" si="274"/>
        <v>273494.7300853536</v>
      </c>
      <c r="CG221" s="175">
        <f t="shared" si="274"/>
        <v>78219.49280441111</v>
      </c>
      <c r="CH221" s="175">
        <f t="shared" si="274"/>
        <v>1093978.9203414144</v>
      </c>
      <c r="CI221" s="176">
        <f t="shared" si="263"/>
        <v>0.26322685722484884</v>
      </c>
      <c r="CJ221" s="177">
        <f t="shared" si="264"/>
        <v>0.13161342861242442</v>
      </c>
      <c r="CK221" s="177">
        <f t="shared" si="265"/>
        <v>0.610207714475786</v>
      </c>
      <c r="CL221" s="98" t="s">
        <v>300</v>
      </c>
      <c r="CM221" s="177">
        <f t="shared" si="266"/>
        <v>0.18387456136625935</v>
      </c>
      <c r="CN221" s="177">
        <f t="shared" si="267"/>
        <v>0.05349815952450109</v>
      </c>
      <c r="CO221" s="177">
        <f t="shared" si="268"/>
        <v>0.22105138524905496</v>
      </c>
      <c r="CP221" s="177">
        <f t="shared" si="269"/>
        <v>0.05023895119296704</v>
      </c>
      <c r="CQ221" s="177">
        <f t="shared" si="270"/>
        <v>0.5086630573327825</v>
      </c>
      <c r="CS221" s="98" t="s">
        <v>300</v>
      </c>
      <c r="CT221" s="175">
        <f>SUM(CL118:CL128)</f>
        <v>457018.473159</v>
      </c>
      <c r="CU221" s="175">
        <f aca="true" t="shared" si="275" ref="CU221:DA221">SUM(CO118:CO128)</f>
        <v>443822.61150383856</v>
      </c>
      <c r="CV221" s="257">
        <f t="shared" si="275"/>
        <v>146283.93275166515</v>
      </c>
      <c r="CW221" s="257">
        <f t="shared" si="275"/>
        <v>77447.04570741982</v>
      </c>
      <c r="CX221" s="257">
        <f t="shared" si="275"/>
        <v>202205.58180114883</v>
      </c>
      <c r="CY221" s="257">
        <f t="shared" si="275"/>
        <v>91530.7555594557</v>
      </c>
      <c r="CZ221" s="257">
        <f t="shared" si="275"/>
        <v>12979.22612577102</v>
      </c>
      <c r="DA221" s="257">
        <f t="shared" si="275"/>
        <v>155633.237628554</v>
      </c>
    </row>
    <row r="222" spans="22:105" ht="12.75">
      <c r="V222"/>
      <c r="AO222" s="1"/>
      <c r="AP222" s="1"/>
      <c r="AQ222" s="1"/>
      <c r="AR222" s="101" t="s">
        <v>289</v>
      </c>
      <c r="AS222" s="158">
        <f>SUM(AV129:AV150)+SUM(AV205:AV209)</f>
        <v>1445051.40254715</v>
      </c>
      <c r="AT222" s="1">
        <f t="shared" si="255"/>
        <v>264444.40666612843</v>
      </c>
      <c r="AU222" s="2">
        <v>0.183</v>
      </c>
      <c r="AV222" s="1">
        <f t="shared" si="256"/>
        <v>83812.9813477347</v>
      </c>
      <c r="AW222" s="2">
        <v>0.058</v>
      </c>
      <c r="AX222" s="1">
        <v>407440.53</v>
      </c>
      <c r="AY222" s="2">
        <f t="shared" si="257"/>
        <v>0.28195573477996455</v>
      </c>
      <c r="AZ222" s="102">
        <v>244464.318</v>
      </c>
      <c r="BA222" s="2">
        <f t="shared" si="258"/>
        <v>0.16917344086797872</v>
      </c>
      <c r="BB222" s="101" t="s">
        <v>289</v>
      </c>
      <c r="BC222" s="100">
        <f t="shared" si="259"/>
        <v>0.6921291756479432</v>
      </c>
      <c r="BD222" s="2"/>
      <c r="BG222" s="1"/>
      <c r="BO222" s="98" t="s">
        <v>289</v>
      </c>
      <c r="BP222" s="175">
        <f>SUM(CI129:CI150)+SUM(CI205:CI209)</f>
        <v>116411580.21087606</v>
      </c>
      <c r="BQ222" s="175">
        <f>SUM(CD129:CD150)+SUM(CD205:CD209)</f>
        <v>12228849.200587122</v>
      </c>
      <c r="BR222" s="175">
        <f>SUM(CE129:CE150)+SUM(CE205:CE209)</f>
        <v>6169097.985182811</v>
      </c>
      <c r="BS222" s="175">
        <f>SUM(CF129:CF150)+SUM(CF205:CF209)</f>
        <v>28168605.057801627</v>
      </c>
      <c r="BT222" s="175">
        <f>SUM(CA129:CA150)+SUM(CA205:CA209)</f>
        <v>1431979.8882168802</v>
      </c>
      <c r="BU222" s="175">
        <f>SUM(CB129:CB150)+SUM(CB205:CB209)</f>
        <v>1007234.7273934822</v>
      </c>
      <c r="BV222" s="175">
        <f>SUM(CC129:CC150)+SUM(CC205:CC209)</f>
        <v>4060686.2939857915</v>
      </c>
      <c r="BW222" s="175">
        <f aca="true" t="shared" si="276" ref="BW222:CH222">SUM(BO129:BO150)+SUM(BO205:BO209)</f>
        <v>263279.4138581373</v>
      </c>
      <c r="BX222" s="175">
        <f t="shared" si="276"/>
        <v>153902.61416491272</v>
      </c>
      <c r="BY222" s="175">
        <f t="shared" si="276"/>
        <v>363430.9028897729</v>
      </c>
      <c r="BZ222" s="175">
        <f t="shared" si="276"/>
        <v>71906.45982545648</v>
      </c>
      <c r="CA222" s="175">
        <f t="shared" si="276"/>
        <v>0</v>
      </c>
      <c r="CB222" s="175">
        <f t="shared" si="276"/>
        <v>172223.16192795077</v>
      </c>
      <c r="CC222" s="175">
        <f t="shared" si="276"/>
        <v>404614.3927132019</v>
      </c>
      <c r="CD222" s="175">
        <f t="shared" si="276"/>
        <v>207971.79785458575</v>
      </c>
      <c r="CE222" s="175">
        <f t="shared" si="276"/>
        <v>797494.968037721</v>
      </c>
      <c r="CF222" s="175">
        <f t="shared" si="276"/>
        <v>245658.7384330153</v>
      </c>
      <c r="CG222" s="175">
        <f t="shared" si="276"/>
        <v>105387.59878776362</v>
      </c>
      <c r="CH222" s="175">
        <f t="shared" si="276"/>
        <v>596705.0756537945</v>
      </c>
      <c r="CI222" s="176">
        <f t="shared" si="263"/>
        <v>0.10504839104868202</v>
      </c>
      <c r="CJ222" s="177">
        <f t="shared" si="264"/>
        <v>0.05299385141931478</v>
      </c>
      <c r="CK222" s="177">
        <f t="shared" si="265"/>
        <v>0.24197425210425844</v>
      </c>
      <c r="CL222" s="98" t="s">
        <v>289</v>
      </c>
      <c r="CM222" s="177">
        <f t="shared" si="266"/>
        <v>0.18385692147253288</v>
      </c>
      <c r="CN222" s="177">
        <f t="shared" si="267"/>
        <v>0.050214713500617195</v>
      </c>
      <c r="CO222" s="177">
        <f t="shared" si="268"/>
        <v>0.28255591858698026</v>
      </c>
      <c r="CP222" s="177">
        <f t="shared" si="269"/>
        <v>0.17155180771352363</v>
      </c>
      <c r="CQ222" s="177">
        <f t="shared" si="270"/>
        <v>0.688179361273654</v>
      </c>
      <c r="CS222" s="98" t="s">
        <v>289</v>
      </c>
      <c r="CT222" s="175">
        <f>SUM(CL129:CL150)+SUM(CL205:CL209)</f>
        <v>76801.72991189998</v>
      </c>
      <c r="CU222" s="175">
        <f aca="true" t="shared" si="277" ref="CU222:DA222">SUM(CO129:CO150)+SUM(CO205:CO209)</f>
        <v>61889.761709267535</v>
      </c>
      <c r="CV222" s="257">
        <f t="shared" si="277"/>
        <v>20386.614384828295</v>
      </c>
      <c r="CW222" s="257">
        <f t="shared" si="277"/>
        <v>10792.448284036946</v>
      </c>
      <c r="CX222" s="257">
        <f t="shared" si="277"/>
        <v>28182.111651164552</v>
      </c>
      <c r="CY222" s="257">
        <f t="shared" si="277"/>
        <v>12101.014924206418</v>
      </c>
      <c r="CZ222" s="257">
        <f t="shared" si="277"/>
        <v>1704.5453170847197</v>
      </c>
      <c r="DA222" s="257">
        <f t="shared" si="277"/>
        <v>20708.56561619707</v>
      </c>
    </row>
    <row r="223" spans="22:105" ht="12.75">
      <c r="V223"/>
      <c r="AO223" s="1"/>
      <c r="AP223" s="1"/>
      <c r="AQ223" s="1"/>
      <c r="AR223" s="101" t="s">
        <v>301</v>
      </c>
      <c r="AS223" s="158">
        <f>SUM(AV154:AV204)</f>
        <v>434055.92454000004</v>
      </c>
      <c r="AT223" s="1">
        <f t="shared" si="255"/>
        <v>79432.23419082</v>
      </c>
      <c r="AU223" s="2">
        <v>0.183</v>
      </c>
      <c r="AV223" s="1">
        <f t="shared" si="256"/>
        <v>25175.243623320002</v>
      </c>
      <c r="AW223" s="2">
        <v>0.058</v>
      </c>
      <c r="AX223" s="159">
        <v>257543</v>
      </c>
      <c r="AY223" s="137">
        <f t="shared" si="257"/>
        <v>0.5933405937793308</v>
      </c>
      <c r="AZ223" s="247">
        <v>51508</v>
      </c>
      <c r="BA223" s="137">
        <f t="shared" si="258"/>
        <v>0.11866673644550917</v>
      </c>
      <c r="BB223" s="101" t="s">
        <v>301</v>
      </c>
      <c r="BC223" s="100">
        <f t="shared" si="259"/>
        <v>0.95300733022484</v>
      </c>
      <c r="BD223" s="2"/>
      <c r="BG223" s="1"/>
      <c r="BO223" s="98" t="s">
        <v>301</v>
      </c>
      <c r="BP223" s="175">
        <f>SUM(CI154:CI204)</f>
        <v>54605243</v>
      </c>
      <c r="BQ223" s="175">
        <f>SUM(CD154:CD204)</f>
        <v>1569058.5804660001</v>
      </c>
      <c r="BR223" s="175">
        <f>SUM(CE154:CE204)</f>
        <v>1255246.8643727999</v>
      </c>
      <c r="BS223" s="175">
        <f>SUM(CF154:CF204)</f>
        <v>2086847.9120197797</v>
      </c>
      <c r="BT223" s="175">
        <f>SUM(CA154:CA204)</f>
        <v>414333.4733233505</v>
      </c>
      <c r="BU223" s="175">
        <f>SUM(CB154:CB204)</f>
        <v>319696.2391563567</v>
      </c>
      <c r="BV223" s="175">
        <f>SUM(CC154:CC204)</f>
        <v>721395.9093583273</v>
      </c>
      <c r="BW223" s="175">
        <f aca="true" t="shared" si="278" ref="BW223:CH223">SUM(BO154:BO204)</f>
        <v>70127.31280782554</v>
      </c>
      <c r="BX223" s="175">
        <f t="shared" si="278"/>
        <v>40993.62197494248</v>
      </c>
      <c r="BY223" s="175">
        <f t="shared" si="278"/>
        <v>96803.74259992235</v>
      </c>
      <c r="BZ223" s="175">
        <f t="shared" si="278"/>
        <v>14757.713789664958</v>
      </c>
      <c r="CA223" s="175">
        <f t="shared" si="278"/>
        <v>0</v>
      </c>
      <c r="CB223" s="175">
        <f t="shared" si="278"/>
        <v>35346.20029762654</v>
      </c>
      <c r="CC223" s="175">
        <f t="shared" si="278"/>
        <v>256092.99547860003</v>
      </c>
      <c r="CD223" s="175">
        <f t="shared" si="278"/>
        <v>190789.281631557</v>
      </c>
      <c r="CE223" s="175">
        <f t="shared" si="278"/>
        <v>335225.7310814874</v>
      </c>
      <c r="CF223" s="175">
        <f t="shared" si="278"/>
        <v>52086.710944800005</v>
      </c>
      <c r="CG223" s="175">
        <f t="shared" si="278"/>
        <v>33127.1481608928</v>
      </c>
      <c r="CH223" s="175">
        <f t="shared" si="278"/>
        <v>75786.164424684</v>
      </c>
      <c r="CI223" s="176">
        <f t="shared" si="263"/>
        <v>0.02873457738235869</v>
      </c>
      <c r="CJ223" s="177">
        <f t="shared" si="264"/>
        <v>0.02298766190588695</v>
      </c>
      <c r="CK223" s="177">
        <f t="shared" si="265"/>
        <v>0.038216987918537046</v>
      </c>
      <c r="CL223" s="98" t="s">
        <v>301</v>
      </c>
      <c r="CM223" s="177">
        <f t="shared" si="266"/>
        <v>0.1692533124232939</v>
      </c>
      <c r="CN223" s="177">
        <f t="shared" si="267"/>
        <v>0.0356179617140126</v>
      </c>
      <c r="CO223" s="177">
        <f t="shared" si="268"/>
        <v>0.6180842533056512</v>
      </c>
      <c r="CP223" s="177">
        <f t="shared" si="269"/>
        <v>0.12571205151979345</v>
      </c>
      <c r="CQ223" s="177">
        <f t="shared" si="270"/>
        <v>0.9486675789627511</v>
      </c>
      <c r="CS223" s="98" t="s">
        <v>301</v>
      </c>
      <c r="CT223" s="175">
        <f>SUM(CL154:CL204)</f>
        <v>19187.486071299998</v>
      </c>
      <c r="CU223" s="175">
        <f aca="true" t="shared" si="279" ref="CU223:DA223">SUM(CO154:CO204)</f>
        <v>18104.148802285115</v>
      </c>
      <c r="CV223" s="257">
        <f t="shared" si="279"/>
        <v>5581.904606540265</v>
      </c>
      <c r="CW223" s="257">
        <f t="shared" si="279"/>
        <v>2930.730403409958</v>
      </c>
      <c r="CX223" s="257">
        <f t="shared" si="279"/>
        <v>7777.836434612503</v>
      </c>
      <c r="CY223" s="257">
        <f t="shared" si="279"/>
        <v>2582.654004534957</v>
      </c>
      <c r="CZ223" s="257">
        <f t="shared" si="279"/>
        <v>355.1732089117543</v>
      </c>
      <c r="DA223" s="257">
        <f t="shared" si="279"/>
        <v>4531.361577203155</v>
      </c>
    </row>
    <row r="224" spans="22:105" ht="12.75">
      <c r="V224"/>
      <c r="AO224" s="1"/>
      <c r="AP224" s="1"/>
      <c r="AQ224" s="1"/>
      <c r="AR224" s="152" t="s">
        <v>295</v>
      </c>
      <c r="AS224" s="151">
        <f>SUM(AS218:AS223)</f>
        <v>14426998.944508476</v>
      </c>
      <c r="AT224" s="151">
        <f>SUM(AT218:AT223)</f>
        <v>2640140.806845051</v>
      </c>
      <c r="AU224" s="248">
        <f>AT224/AS224</f>
        <v>0.18299999999999997</v>
      </c>
      <c r="AV224" s="151">
        <f>SUM(AV218:AV223)</f>
        <v>836765.9387814918</v>
      </c>
      <c r="AW224" s="248">
        <f>AV224/AS224</f>
        <v>0.05800000000000002</v>
      </c>
      <c r="AX224" s="151">
        <f>SUM(AX218:AX223)</f>
        <v>3189007.1672</v>
      </c>
      <c r="AY224" s="150">
        <f t="shared" si="257"/>
        <v>0.2210443890282442</v>
      </c>
      <c r="AZ224" s="151">
        <v>1050364.0775</v>
      </c>
      <c r="BA224" s="150">
        <f t="shared" si="258"/>
        <v>0.07280544495359603</v>
      </c>
      <c r="BB224" s="161" t="s">
        <v>295</v>
      </c>
      <c r="BC224" s="100">
        <f t="shared" si="259"/>
        <v>0.5348498339818402</v>
      </c>
      <c r="BD224" s="2"/>
      <c r="BG224" s="1"/>
      <c r="BO224" s="152" t="s">
        <v>295</v>
      </c>
      <c r="BP224" s="151">
        <f aca="true" t="shared" si="280" ref="BP224:CH224">SUM(BP218:BP223)</f>
        <v>633461336.8315861</v>
      </c>
      <c r="BQ224" s="180">
        <f t="shared" si="280"/>
        <v>120396230.33264557</v>
      </c>
      <c r="BR224" s="151">
        <f t="shared" si="280"/>
        <v>60827547.50320593</v>
      </c>
      <c r="BS224" s="151">
        <f t="shared" si="280"/>
        <v>277027040.1644905</v>
      </c>
      <c r="BT224" s="151">
        <f t="shared" si="280"/>
        <v>14109524.733264768</v>
      </c>
      <c r="BU224" s="151">
        <f t="shared" si="280"/>
        <v>10034956.422327707</v>
      </c>
      <c r="BV224" s="151">
        <f t="shared" si="280"/>
        <v>40044372.50796136</v>
      </c>
      <c r="BW224" s="151">
        <f t="shared" si="280"/>
        <v>2585024.069080312</v>
      </c>
      <c r="BX224" s="151">
        <f t="shared" si="280"/>
        <v>1511101.6698215872</v>
      </c>
      <c r="BY224" s="151">
        <f t="shared" si="280"/>
        <v>3568367.2249584626</v>
      </c>
      <c r="BZ224" s="151">
        <f t="shared" si="280"/>
        <v>574408.4653025229</v>
      </c>
      <c r="CA224" s="151">
        <f t="shared" si="280"/>
        <v>0</v>
      </c>
      <c r="CB224" s="151">
        <f t="shared" si="280"/>
        <v>1375765.7152460725</v>
      </c>
      <c r="CC224" s="151">
        <f t="shared" si="280"/>
        <v>3191088.233517604</v>
      </c>
      <c r="CD224" s="151">
        <f t="shared" si="280"/>
        <v>1674042.834115306</v>
      </c>
      <c r="CE224" s="151">
        <f t="shared" si="280"/>
        <v>6102616.17132213</v>
      </c>
      <c r="CF224" s="151">
        <f t="shared" si="280"/>
        <v>982295.1560428912</v>
      </c>
      <c r="CG224" s="151">
        <f t="shared" si="280"/>
        <v>414172.03499509173</v>
      </c>
      <c r="CH224" s="151">
        <f t="shared" si="280"/>
        <v>2698765.172013676</v>
      </c>
      <c r="CI224" s="178">
        <f t="shared" si="263"/>
        <v>0.19006089769398896</v>
      </c>
      <c r="CJ224" s="179">
        <f t="shared" si="264"/>
        <v>0.09602408855361243</v>
      </c>
      <c r="CK224" s="179">
        <f t="shared" si="265"/>
        <v>0.4373227284085086</v>
      </c>
      <c r="CL224" s="181" t="s">
        <v>295</v>
      </c>
      <c r="CM224" s="281">
        <f t="shared" si="266"/>
        <v>0.18321127876021445</v>
      </c>
      <c r="CN224" s="281">
        <f t="shared" si="267"/>
        <v>0.04071068842937645</v>
      </c>
      <c r="CO224" s="281">
        <f t="shared" si="268"/>
        <v>0.22616553667426229</v>
      </c>
      <c r="CP224" s="281">
        <f t="shared" si="269"/>
        <v>0.06961929438537512</v>
      </c>
      <c r="CQ224" s="281">
        <f t="shared" si="270"/>
        <v>0.5197067982492283</v>
      </c>
      <c r="CS224" s="152" t="s">
        <v>575</v>
      </c>
      <c r="CT224" s="151">
        <f aca="true" t="shared" si="281" ref="CT224:DA224">SUM(CT218:CT223)</f>
        <v>1395996.3101808997</v>
      </c>
      <c r="CU224" s="180">
        <f t="shared" si="281"/>
        <v>1256810.8670490198</v>
      </c>
      <c r="CV224" s="104">
        <f t="shared" si="281"/>
        <v>411586.5623462415</v>
      </c>
      <c r="CW224" s="151">
        <f t="shared" si="281"/>
        <v>217723.29892514474</v>
      </c>
      <c r="CX224" s="151">
        <f t="shared" si="281"/>
        <v>569381.4550389195</v>
      </c>
      <c r="CY224" s="104">
        <f t="shared" si="281"/>
        <v>197032.37495947743</v>
      </c>
      <c r="CZ224" s="151">
        <f t="shared" si="281"/>
        <v>27125.34043910865</v>
      </c>
      <c r="DA224" s="151">
        <f t="shared" si="281"/>
        <v>344903.71096285596</v>
      </c>
    </row>
    <row r="225" spans="22:105" ht="12.75">
      <c r="V225"/>
      <c r="AO225" s="1"/>
      <c r="AP225" s="1"/>
      <c r="AQ225" s="1"/>
      <c r="AT225"/>
      <c r="AU225"/>
      <c r="AY225"/>
      <c r="AZ225"/>
      <c r="BA225"/>
      <c r="BC225" s="2"/>
      <c r="BD225" s="2"/>
      <c r="BG225" s="1"/>
      <c r="BO225" s="98" t="s">
        <v>127</v>
      </c>
      <c r="BP225" s="97">
        <v>127960004</v>
      </c>
      <c r="BQ225" s="97">
        <v>35361230.14698384</v>
      </c>
      <c r="BR225" s="97">
        <v>17680615.07349192</v>
      </c>
      <c r="BS225" s="97">
        <v>81973760.79528072</v>
      </c>
      <c r="BT225" s="97">
        <v>4066541.4669031417</v>
      </c>
      <c r="BU225" s="97">
        <v>2828898.4117587074</v>
      </c>
      <c r="BV225" s="97">
        <v>11669205.948504668</v>
      </c>
      <c r="CI225" s="176">
        <f aca="true" t="shared" si="282" ref="CI225:CI239">BQ225/BP225</f>
        <v>0.27634596</v>
      </c>
      <c r="CJ225" s="177">
        <f aca="true" t="shared" si="283" ref="CJ225:CJ239">BR225/BP225</f>
        <v>0.13817298</v>
      </c>
      <c r="CK225" s="177">
        <f aca="true" t="shared" si="284" ref="CK225:CK239">BS225/BP225</f>
        <v>0.64062018</v>
      </c>
      <c r="CS225" s="260" t="s">
        <v>574</v>
      </c>
      <c r="CT225" s="151"/>
      <c r="CU225" s="180"/>
      <c r="CV225" s="263">
        <f>CV224/CU224</f>
        <v>0.32748488506679047</v>
      </c>
      <c r="CW225" s="261">
        <f>CW224/CU224</f>
        <v>0.17323473613524445</v>
      </c>
      <c r="CX225" s="261">
        <f>CX224/CU224</f>
        <v>0.4530367058138364</v>
      </c>
      <c r="CY225" s="263">
        <f>CY224/CU224</f>
        <v>0.1567716990083859</v>
      </c>
      <c r="CZ225" s="261">
        <f>CZ224/CU224</f>
        <v>0.02158267496747438</v>
      </c>
      <c r="DA225" s="261">
        <f>DA224/CU224</f>
        <v>0.2744276963268838</v>
      </c>
    </row>
    <row r="226" spans="22:100" ht="12.75">
      <c r="V226"/>
      <c r="AO226" s="1"/>
      <c r="AP226" s="1"/>
      <c r="AQ226" s="1"/>
      <c r="AT226"/>
      <c r="AU226"/>
      <c r="AX226" s="133" t="s">
        <v>566</v>
      </c>
      <c r="AY226" s="133"/>
      <c r="AZ226" s="133"/>
      <c r="BA226" s="133"/>
      <c r="BC226" s="2"/>
      <c r="BD226" s="2"/>
      <c r="BG226" s="1"/>
      <c r="BO226" s="98" t="s">
        <v>34</v>
      </c>
      <c r="BP226" s="97">
        <v>26568927</v>
      </c>
      <c r="BQ226" s="97">
        <v>7339760.66913012</v>
      </c>
      <c r="BR226" s="97">
        <v>3669880.33456506</v>
      </c>
      <c r="BS226" s="97">
        <v>17014899.732983463</v>
      </c>
      <c r="BT226" s="97">
        <v>844072.4769499638</v>
      </c>
      <c r="BU226" s="97">
        <v>587180.8535304096</v>
      </c>
      <c r="BV226" s="97">
        <v>2422121.02081294</v>
      </c>
      <c r="CF226" s="104" t="s">
        <v>296</v>
      </c>
      <c r="CG226" s="173" t="s">
        <v>627</v>
      </c>
      <c r="CH226" s="174" t="s">
        <v>628</v>
      </c>
      <c r="CI226" s="176">
        <f t="shared" si="282"/>
        <v>0.27625356</v>
      </c>
      <c r="CJ226" s="177">
        <f t="shared" si="283"/>
        <v>0.13812678</v>
      </c>
      <c r="CK226" s="177">
        <f t="shared" si="284"/>
        <v>0.64040598</v>
      </c>
      <c r="CS226" s="98" t="s">
        <v>576</v>
      </c>
      <c r="CT226" s="97">
        <f>SUM(CL18:CL150)</f>
        <v>1375619.703506001</v>
      </c>
      <c r="CU226" s="97">
        <f>SUM(CO18:CO150)</f>
        <v>1228303.8355124588</v>
      </c>
      <c r="CV226" s="254"/>
    </row>
    <row r="227" spans="22:105" ht="12.75">
      <c r="V227"/>
      <c r="AO227" s="1"/>
      <c r="AP227" s="1"/>
      <c r="AQ227" s="1"/>
      <c r="AT227"/>
      <c r="AU227"/>
      <c r="AX227" t="s">
        <v>562</v>
      </c>
      <c r="AY227"/>
      <c r="AZ227" t="s">
        <v>564</v>
      </c>
      <c r="BA227"/>
      <c r="BC227" s="2"/>
      <c r="BD227" s="2"/>
      <c r="BG227" s="1"/>
      <c r="BO227" s="98" t="s">
        <v>276</v>
      </c>
      <c r="BP227" s="97">
        <v>11848026</v>
      </c>
      <c r="BQ227" s="97">
        <v>3671614.3494337588</v>
      </c>
      <c r="BR227" s="97">
        <v>1835807.1747168794</v>
      </c>
      <c r="BS227" s="97">
        <v>8511469.628232805</v>
      </c>
      <c r="BT227" s="97">
        <v>420631.08555191103</v>
      </c>
      <c r="BU227" s="97">
        <v>300705.51592414075</v>
      </c>
      <c r="BV227" s="97">
        <v>1212547.830731968</v>
      </c>
      <c r="BX227" s="1"/>
      <c r="BY227" s="1"/>
      <c r="BZ227" s="1"/>
      <c r="CC227"/>
      <c r="CE227"/>
      <c r="CF227" s="98" t="s">
        <v>297</v>
      </c>
      <c r="CG227" s="176">
        <f aca="true" t="shared" si="285" ref="CG227:CG233">BT218/BP218</f>
        <v>0.03124910521791511</v>
      </c>
      <c r="CH227" s="177">
        <f>BT218/BT224</f>
        <v>0.29531678591982025</v>
      </c>
      <c r="CI227" s="176">
        <f t="shared" si="282"/>
        <v>0.30989249596799995</v>
      </c>
      <c r="CJ227" s="177">
        <f t="shared" si="283"/>
        <v>0.15494624798399997</v>
      </c>
      <c r="CK227" s="177">
        <f t="shared" si="284"/>
        <v>0.718387149744</v>
      </c>
      <c r="CS227" s="98" t="s">
        <v>577</v>
      </c>
      <c r="CT227" s="97"/>
      <c r="CU227" s="97"/>
      <c r="CV227" s="256">
        <v>0.3275</v>
      </c>
      <c r="CW227" s="255">
        <v>0.1745</v>
      </c>
      <c r="CX227" s="255">
        <v>0.4556</v>
      </c>
      <c r="CY227" s="256">
        <v>0.2126</v>
      </c>
      <c r="CZ227" s="255">
        <v>0.0302</v>
      </c>
      <c r="DA227" s="255">
        <v>0.3608</v>
      </c>
    </row>
    <row r="228" spans="22:103" ht="12.75">
      <c r="V228"/>
      <c r="AO228" s="1"/>
      <c r="AP228" s="1"/>
      <c r="AQ228" s="1"/>
      <c r="AT228"/>
      <c r="AU228"/>
      <c r="AX228" t="s">
        <v>563</v>
      </c>
      <c r="AY228"/>
      <c r="AZ228" t="s">
        <v>565</v>
      </c>
      <c r="BA228"/>
      <c r="BC228" s="2"/>
      <c r="BD228" s="2"/>
      <c r="BG228" s="1"/>
      <c r="BO228" s="98" t="s">
        <v>115</v>
      </c>
      <c r="BP228" s="97">
        <v>21418111</v>
      </c>
      <c r="BQ228" s="97">
        <v>6728234.923672827</v>
      </c>
      <c r="BR228" s="97">
        <v>3364117.4618364135</v>
      </c>
      <c r="BS228" s="97">
        <v>15597271.86851428</v>
      </c>
      <c r="BT228" s="97">
        <v>769336.5941249353</v>
      </c>
      <c r="BU228" s="97">
        <v>557434.5421435648</v>
      </c>
      <c r="BV228" s="97">
        <v>2222832.822091763</v>
      </c>
      <c r="BX228" s="1"/>
      <c r="BY228" s="1"/>
      <c r="BZ228" s="1"/>
      <c r="CC228"/>
      <c r="CE228"/>
      <c r="CF228" s="98" t="s">
        <v>298</v>
      </c>
      <c r="CG228" s="176">
        <f t="shared" si="285"/>
        <v>0.010088999030691447</v>
      </c>
      <c r="CH228" s="177">
        <f>BT219/BT224</f>
        <v>0.05505568441331055</v>
      </c>
      <c r="CI228" s="176">
        <f t="shared" si="282"/>
        <v>0.314137643776</v>
      </c>
      <c r="CJ228" s="177">
        <f t="shared" si="283"/>
        <v>0.157068821888</v>
      </c>
      <c r="CK228" s="177">
        <f t="shared" si="284"/>
        <v>0.728228174208</v>
      </c>
      <c r="CS228" s="98" t="s">
        <v>578</v>
      </c>
      <c r="CT228" s="97">
        <f>SUM(CL151:CL209)</f>
        <v>20376.606674900002</v>
      </c>
      <c r="CU228" s="97">
        <f>SUM(CO151:CO210)</f>
        <v>28507.031536560833</v>
      </c>
      <c r="CY228" s="254"/>
    </row>
    <row r="229" spans="22:105" ht="12.75">
      <c r="V229"/>
      <c r="AO229" s="1"/>
      <c r="AP229" s="1"/>
      <c r="AQ229" s="1"/>
      <c r="AT229"/>
      <c r="AU229"/>
      <c r="AY229"/>
      <c r="AZ229"/>
      <c r="BA229"/>
      <c r="BC229" s="2"/>
      <c r="BD229" s="2"/>
      <c r="BG229" s="1"/>
      <c r="BO229" s="98" t="s">
        <v>109</v>
      </c>
      <c r="BP229" s="97">
        <v>5545968</v>
      </c>
      <c r="BQ229" s="97">
        <v>2040302.424302174</v>
      </c>
      <c r="BR229" s="97">
        <v>1020151.212151087</v>
      </c>
      <c r="BS229" s="97">
        <v>4729791.983609585</v>
      </c>
      <c r="BT229" s="97">
        <v>233616.80703465448</v>
      </c>
      <c r="BU229" s="97">
        <v>167650.15811850238</v>
      </c>
      <c r="BV229" s="97">
        <v>673880.3570599373</v>
      </c>
      <c r="BX229" s="1"/>
      <c r="BY229" s="1"/>
      <c r="BZ229" s="1"/>
      <c r="CC229"/>
      <c r="CD229"/>
      <c r="CE229"/>
      <c r="CF229" s="98" t="s">
        <v>299</v>
      </c>
      <c r="CG229" s="176">
        <f t="shared" si="285"/>
        <v>0.025997131993523968</v>
      </c>
      <c r="CH229" s="177">
        <f>BT220/BT224</f>
        <v>0.13294169670186318</v>
      </c>
      <c r="CI229" s="176">
        <f t="shared" si="282"/>
        <v>0.36788932505599997</v>
      </c>
      <c r="CJ229" s="177">
        <f t="shared" si="283"/>
        <v>0.18394466252799999</v>
      </c>
      <c r="CK229" s="177">
        <f t="shared" si="284"/>
        <v>0.8528343444479999</v>
      </c>
      <c r="CM229" s="250" t="s">
        <v>388</v>
      </c>
      <c r="CN229" s="250"/>
      <c r="CO229" s="251" t="s">
        <v>387</v>
      </c>
      <c r="CP229" s="251" t="s">
        <v>383</v>
      </c>
      <c r="CQ229" s="251" t="s">
        <v>384</v>
      </c>
      <c r="CS229" s="98" t="s">
        <v>579</v>
      </c>
      <c r="CT229" s="97"/>
      <c r="CU229" s="97"/>
      <c r="CV229" s="256">
        <v>0.3275</v>
      </c>
      <c r="CW229" s="255">
        <v>0.1745</v>
      </c>
      <c r="CX229" s="255">
        <v>0.4556</v>
      </c>
      <c r="CY229" s="256">
        <v>0.2126</v>
      </c>
      <c r="CZ229" s="255">
        <v>0.0302</v>
      </c>
      <c r="DA229" s="255">
        <v>0.3608</v>
      </c>
    </row>
    <row r="230" spans="22:95" ht="12.75">
      <c r="V230"/>
      <c r="AO230" s="1"/>
      <c r="AP230" s="1"/>
      <c r="AQ230" s="1"/>
      <c r="AT230"/>
      <c r="AU230"/>
      <c r="AY230"/>
      <c r="AZ230"/>
      <c r="BA230"/>
      <c r="BC230" s="2"/>
      <c r="BD230" s="2"/>
      <c r="BG230" s="1"/>
      <c r="BO230" s="98" t="s">
        <v>48</v>
      </c>
      <c r="BP230" s="97">
        <v>11931668</v>
      </c>
      <c r="BQ230" s="97">
        <v>3367560.7681016224</v>
      </c>
      <c r="BR230" s="97">
        <v>1683780.3840508112</v>
      </c>
      <c r="BS230" s="97">
        <v>7806618.144235578</v>
      </c>
      <c r="BT230" s="97">
        <v>386004.9349003994</v>
      </c>
      <c r="BU230" s="97">
        <v>274902.9198450304</v>
      </c>
      <c r="BV230" s="97">
        <v>1112016.2379170007</v>
      </c>
      <c r="BX230" s="1"/>
      <c r="BY230" s="1"/>
      <c r="BZ230" s="1"/>
      <c r="CC230"/>
      <c r="CD230"/>
      <c r="CE230"/>
      <c r="CF230" s="98" t="s">
        <v>300</v>
      </c>
      <c r="CG230" s="176">
        <f t="shared" si="285"/>
        <v>0.030251147759214347</v>
      </c>
      <c r="CH230" s="177">
        <f>BT221/BT224</f>
        <v>0.38583001773068126</v>
      </c>
      <c r="CI230" s="176">
        <f t="shared" si="282"/>
        <v>0.28223721679999997</v>
      </c>
      <c r="CJ230" s="177">
        <f t="shared" si="283"/>
        <v>0.14111860839999998</v>
      </c>
      <c r="CK230" s="177">
        <f t="shared" si="284"/>
        <v>0.6542771843999999</v>
      </c>
      <c r="CM230" s="250" t="s">
        <v>386</v>
      </c>
      <c r="CN230" s="250"/>
      <c r="CO230" s="252">
        <v>1071</v>
      </c>
      <c r="CP230" s="252">
        <v>977</v>
      </c>
      <c r="CQ230" s="252">
        <v>1776</v>
      </c>
    </row>
    <row r="231" spans="22:95" ht="12.75">
      <c r="V231"/>
      <c r="AO231" s="1"/>
      <c r="AP231" s="1"/>
      <c r="AQ231" s="1"/>
      <c r="AT231"/>
      <c r="AU231"/>
      <c r="AY231"/>
      <c r="AZ231"/>
      <c r="BA231"/>
      <c r="BC231" s="2"/>
      <c r="BD231" s="2"/>
      <c r="BG231" s="1"/>
      <c r="BO231" s="98" t="s">
        <v>133</v>
      </c>
      <c r="BP231" s="97">
        <v>81595595</v>
      </c>
      <c r="BQ231" s="97">
        <v>6488543.7270522</v>
      </c>
      <c r="BR231" s="97">
        <v>3244271.8635261</v>
      </c>
      <c r="BS231" s="97">
        <v>15041624.0945301</v>
      </c>
      <c r="BT231" s="253">
        <v>746182.528611003</v>
      </c>
      <c r="BU231" s="253">
        <v>519083.498164176</v>
      </c>
      <c r="BV231" s="253">
        <v>2141219.429927226</v>
      </c>
      <c r="BX231" s="1"/>
      <c r="BY231" s="1"/>
      <c r="BZ231" s="1"/>
      <c r="CC231"/>
      <c r="CD231"/>
      <c r="CE231"/>
      <c r="CF231" s="98" t="s">
        <v>289</v>
      </c>
      <c r="CG231" s="176">
        <f t="shared" si="285"/>
        <v>0.012301008934187577</v>
      </c>
      <c r="CH231" s="177">
        <f>BT222/BT224</f>
        <v>0.10149029930404593</v>
      </c>
      <c r="CI231" s="176">
        <f t="shared" si="282"/>
        <v>0.07952076</v>
      </c>
      <c r="CJ231" s="177">
        <f t="shared" si="283"/>
        <v>0.03976038</v>
      </c>
      <c r="CK231" s="177">
        <f t="shared" si="284"/>
        <v>0.18434358</v>
      </c>
      <c r="CM231" s="250" t="s">
        <v>385</v>
      </c>
      <c r="CN231" s="250"/>
      <c r="CO231" s="252">
        <v>325</v>
      </c>
      <c r="CP231" s="252">
        <v>209</v>
      </c>
      <c r="CQ231" s="252">
        <v>470</v>
      </c>
    </row>
    <row r="232" spans="22:95" ht="12.75">
      <c r="V232"/>
      <c r="AO232" s="1"/>
      <c r="AP232" s="1"/>
      <c r="AQ232" s="1"/>
      <c r="AT232"/>
      <c r="AU232"/>
      <c r="AY232"/>
      <c r="AZ232"/>
      <c r="BA232"/>
      <c r="BC232" s="2"/>
      <c r="BD232" s="2"/>
      <c r="BG232" s="1"/>
      <c r="BO232" s="98" t="s">
        <v>15</v>
      </c>
      <c r="BP232" s="97">
        <v>3377576</v>
      </c>
      <c r="BQ232" s="97">
        <v>856794.1729123984</v>
      </c>
      <c r="BR232" s="97">
        <v>428397.0864561992</v>
      </c>
      <c r="BS232" s="97">
        <v>1986204.6735696504</v>
      </c>
      <c r="BT232" s="97">
        <v>97935.80636349597</v>
      </c>
      <c r="BU232" s="97">
        <v>71132.76653486081</v>
      </c>
      <c r="BV232" s="97">
        <v>283081.7086565202</v>
      </c>
      <c r="BX232" s="1"/>
      <c r="BY232" s="1"/>
      <c r="BZ232" s="1"/>
      <c r="CC232"/>
      <c r="CD232"/>
      <c r="CE232"/>
      <c r="CF232" s="98" t="s">
        <v>301</v>
      </c>
      <c r="CG232" s="176">
        <f t="shared" si="285"/>
        <v>0.007587796529416607</v>
      </c>
      <c r="CH232" s="177">
        <f>BT223/BT224</f>
        <v>0.029365515930278883</v>
      </c>
      <c r="CI232" s="176">
        <f t="shared" si="282"/>
        <v>0.253671323136</v>
      </c>
      <c r="CJ232" s="177">
        <f t="shared" si="283"/>
        <v>0.126835661568</v>
      </c>
      <c r="CK232" s="177">
        <f t="shared" si="284"/>
        <v>0.5880562490879999</v>
      </c>
      <c r="CM232" s="250" t="s">
        <v>381</v>
      </c>
      <c r="CN232" s="250"/>
      <c r="CO232" s="252">
        <f>SUM(CO230:CO231)</f>
        <v>1396</v>
      </c>
      <c r="CP232" s="252">
        <f>SUM(CP230:CP231)</f>
        <v>1186</v>
      </c>
      <c r="CQ232" s="252">
        <f>SUM(CQ230:CQ231)</f>
        <v>2246</v>
      </c>
    </row>
    <row r="233" spans="22:95" ht="12.75">
      <c r="V233"/>
      <c r="AO233" s="1"/>
      <c r="AP233" s="1"/>
      <c r="AQ233" s="1"/>
      <c r="AT233"/>
      <c r="AU233"/>
      <c r="AY233"/>
      <c r="AZ233"/>
      <c r="BA233"/>
      <c r="BC233" s="2"/>
      <c r="BD233" s="2"/>
      <c r="BG233" s="1"/>
      <c r="BO233" s="98" t="s">
        <v>119</v>
      </c>
      <c r="BP233" s="97">
        <v>21578876</v>
      </c>
      <c r="BQ233" s="97">
        <v>3918360.4933281597</v>
      </c>
      <c r="BR233" s="97">
        <v>1959180.2466640798</v>
      </c>
      <c r="BS233" s="97">
        <v>9083472.05271528</v>
      </c>
      <c r="BT233" s="253">
        <v>450611.45673273836</v>
      </c>
      <c r="BU233" s="253">
        <v>313468.8394662528</v>
      </c>
      <c r="BV233" s="253">
        <v>1293058.9627982927</v>
      </c>
      <c r="BX233" s="1"/>
      <c r="BY233" s="1"/>
      <c r="BZ233" s="1"/>
      <c r="CC233"/>
      <c r="CD233"/>
      <c r="CE233"/>
      <c r="CF233" s="152" t="s">
        <v>295</v>
      </c>
      <c r="CG233" s="178">
        <f t="shared" si="285"/>
        <v>0.022273695193201614</v>
      </c>
      <c r="CH233" s="266">
        <f>BT224/BT224</f>
        <v>1</v>
      </c>
      <c r="CI233" s="176">
        <f t="shared" si="282"/>
        <v>0.18158316</v>
      </c>
      <c r="CJ233" s="177">
        <f t="shared" si="283"/>
        <v>0.09079158</v>
      </c>
      <c r="CK233" s="177">
        <f t="shared" si="284"/>
        <v>0.42094277999999996</v>
      </c>
      <c r="CM233" s="250"/>
      <c r="CN233" s="250"/>
      <c r="CO233" s="252"/>
      <c r="CP233" s="252"/>
      <c r="CQ233" s="252"/>
    </row>
    <row r="234" spans="22:95" ht="12.75">
      <c r="V234"/>
      <c r="AO234" s="1"/>
      <c r="AP234" s="1"/>
      <c r="AQ234" s="1"/>
      <c r="AT234"/>
      <c r="AU234"/>
      <c r="AY234"/>
      <c r="AZ234"/>
      <c r="BA234"/>
      <c r="BC234" s="2"/>
      <c r="BD234" s="2"/>
      <c r="BG234" s="1"/>
      <c r="BO234" s="98" t="s">
        <v>49</v>
      </c>
      <c r="BP234" s="97">
        <v>6664323</v>
      </c>
      <c r="BQ234" s="97">
        <v>1645189.3436767156</v>
      </c>
      <c r="BR234" s="97">
        <v>822594.6718383578</v>
      </c>
      <c r="BS234" s="97">
        <v>3813848.0239778403</v>
      </c>
      <c r="BT234" s="97">
        <v>188157.24900951528</v>
      </c>
      <c r="BU234" s="97">
        <v>136134.82363895042</v>
      </c>
      <c r="BV234" s="97">
        <v>543505.3327229884</v>
      </c>
      <c r="BX234" s="1"/>
      <c r="BY234" s="1"/>
      <c r="BZ234" s="1"/>
      <c r="CC234"/>
      <c r="CD234"/>
      <c r="CE234"/>
      <c r="CF234"/>
      <c r="CI234" s="176">
        <f t="shared" si="282"/>
        <v>0.246865187008</v>
      </c>
      <c r="CJ234" s="177">
        <f t="shared" si="283"/>
        <v>0.123432593504</v>
      </c>
      <c r="CK234" s="177">
        <f t="shared" si="284"/>
        <v>0.572278388064</v>
      </c>
      <c r="CM234" s="250"/>
      <c r="CN234" s="250"/>
      <c r="CO234" s="252"/>
      <c r="CP234" s="252"/>
      <c r="CQ234" s="252"/>
    </row>
    <row r="235" spans="22:95" ht="12.75">
      <c r="V235"/>
      <c r="AO235" s="1"/>
      <c r="AP235" s="1"/>
      <c r="AQ235" s="1"/>
      <c r="AT235"/>
      <c r="AU235"/>
      <c r="AY235"/>
      <c r="AZ235"/>
      <c r="BA235"/>
      <c r="BB235" s="1"/>
      <c r="BC235" s="2"/>
      <c r="BD235" s="2"/>
      <c r="BG235" s="1"/>
      <c r="BO235" s="98" t="s">
        <v>17</v>
      </c>
      <c r="BP235" s="97">
        <v>2955148</v>
      </c>
      <c r="BQ235" s="97">
        <v>1047365.0941940078</v>
      </c>
      <c r="BR235" s="97">
        <v>523682.5470970039</v>
      </c>
      <c r="BS235" s="97">
        <v>2427982.7183588366</v>
      </c>
      <c r="BT235" s="97">
        <v>119719.00404994542</v>
      </c>
      <c r="BU235" s="97">
        <v>86954.34571971837</v>
      </c>
      <c r="BV235" s="97">
        <v>346045.6546334974</v>
      </c>
      <c r="CC235"/>
      <c r="CD235"/>
      <c r="CE235"/>
      <c r="CF235"/>
      <c r="CI235" s="176">
        <f t="shared" si="282"/>
        <v>0.35442052113599987</v>
      </c>
      <c r="CJ235" s="177">
        <f t="shared" si="283"/>
        <v>0.17721026056799993</v>
      </c>
      <c r="CK235" s="177">
        <f t="shared" si="284"/>
        <v>0.8216112080879998</v>
      </c>
      <c r="CM235" s="250" t="s">
        <v>386</v>
      </c>
      <c r="CN235" s="250"/>
      <c r="CO235" s="252">
        <v>751</v>
      </c>
      <c r="CP235" s="252">
        <v>538</v>
      </c>
      <c r="CQ235" s="252">
        <v>1031</v>
      </c>
    </row>
    <row r="236" spans="22:95" ht="12.75">
      <c r="V236"/>
      <c r="AO236" s="1"/>
      <c r="AP236" s="1"/>
      <c r="AQ236" s="1"/>
      <c r="AT236"/>
      <c r="AU236"/>
      <c r="AY236"/>
      <c r="AZ236"/>
      <c r="BA236"/>
      <c r="BB236" s="1"/>
      <c r="BC236" s="2"/>
      <c r="BD236" s="2"/>
      <c r="BG236" s="1"/>
      <c r="BO236" s="98" t="s">
        <v>57</v>
      </c>
      <c r="BP236" s="97">
        <v>6465275</v>
      </c>
      <c r="BQ236" s="97">
        <v>1745726.5130649523</v>
      </c>
      <c r="BR236" s="97">
        <v>872863.2565324762</v>
      </c>
      <c r="BS236" s="97">
        <v>4046911.4621051163</v>
      </c>
      <c r="BT236" s="97">
        <v>199696.68560278704</v>
      </c>
      <c r="BU236" s="97">
        <v>144274.91843512002</v>
      </c>
      <c r="BV236" s="97">
        <v>576695.3380876686</v>
      </c>
      <c r="CC236"/>
      <c r="CD236"/>
      <c r="CE236"/>
      <c r="CF236"/>
      <c r="CI236" s="176">
        <f t="shared" si="282"/>
        <v>0.27001581728000007</v>
      </c>
      <c r="CJ236" s="177">
        <f t="shared" si="283"/>
        <v>0.13500790864000003</v>
      </c>
      <c r="CK236" s="177">
        <f t="shared" si="284"/>
        <v>0.6259457582400001</v>
      </c>
      <c r="CM236" s="250" t="s">
        <v>385</v>
      </c>
      <c r="CN236" s="250"/>
      <c r="CO236" s="252">
        <v>50</v>
      </c>
      <c r="CP236" s="252">
        <v>17</v>
      </c>
      <c r="CQ236" s="252">
        <v>151</v>
      </c>
    </row>
    <row r="237" spans="22:95" ht="12.75">
      <c r="V237"/>
      <c r="AO237" s="1"/>
      <c r="AP237" s="1"/>
      <c r="AQ237" s="1"/>
      <c r="AT237"/>
      <c r="AU237"/>
      <c r="AY237"/>
      <c r="AZ237"/>
      <c r="BA237"/>
      <c r="BB237" s="1"/>
      <c r="BC237" s="2"/>
      <c r="BD237" s="2"/>
      <c r="BG237" s="1"/>
      <c r="BO237" s="98" t="s">
        <v>277</v>
      </c>
      <c r="BP237" s="97">
        <v>3084517</v>
      </c>
      <c r="BQ237" s="97">
        <v>1127652.2625587631</v>
      </c>
      <c r="BR237" s="97">
        <v>563826.1312793816</v>
      </c>
      <c r="BS237" s="97">
        <v>2614102.972295314</v>
      </c>
      <c r="BT237" s="97">
        <v>129082.30808965872</v>
      </c>
      <c r="BU237" s="97">
        <v>92810.88580730562</v>
      </c>
      <c r="BV237" s="97">
        <v>372466.1207023781</v>
      </c>
      <c r="CC237"/>
      <c r="CD237"/>
      <c r="CE237"/>
      <c r="CF237"/>
      <c r="CI237" s="176">
        <f t="shared" si="282"/>
        <v>0.36558471312</v>
      </c>
      <c r="CJ237" s="177">
        <f t="shared" si="283"/>
        <v>0.18279235656</v>
      </c>
      <c r="CK237" s="177">
        <f t="shared" si="284"/>
        <v>0.8474918349599999</v>
      </c>
      <c r="CM237" s="250" t="s">
        <v>382</v>
      </c>
      <c r="CN237" s="250"/>
      <c r="CO237" s="252">
        <f>SUM(CO235:CO236)</f>
        <v>801</v>
      </c>
      <c r="CP237" s="252">
        <f>SUM(CP235:CP236)</f>
        <v>555</v>
      </c>
      <c r="CQ237" s="252">
        <f>SUM(CQ235:CQ236)</f>
        <v>1182</v>
      </c>
    </row>
    <row r="238" spans="22:89" ht="14.25">
      <c r="V238"/>
      <c r="AO238" s="1"/>
      <c r="AP238" s="1"/>
      <c r="AQ238" s="1"/>
      <c r="AT238"/>
      <c r="AU238"/>
      <c r="AW238" s="17"/>
      <c r="AX238" s="17"/>
      <c r="AY238"/>
      <c r="AZ238"/>
      <c r="BA238"/>
      <c r="BB238" s="1"/>
      <c r="BC238" s="2"/>
      <c r="BD238" s="2"/>
      <c r="BG238" s="1"/>
      <c r="BO238" s="98" t="s">
        <v>30</v>
      </c>
      <c r="BP238" s="97">
        <v>2911668</v>
      </c>
      <c r="BQ238" s="97">
        <v>932893.9537598714</v>
      </c>
      <c r="BR238" s="97">
        <v>466446.9768799357</v>
      </c>
      <c r="BS238" s="97">
        <v>2162617.801897884</v>
      </c>
      <c r="BT238" s="97">
        <v>106744.6203156617</v>
      </c>
      <c r="BU238" s="97">
        <v>76971.4483300224</v>
      </c>
      <c r="BV238" s="97">
        <v>308161.93537998106</v>
      </c>
      <c r="CC238"/>
      <c r="CD238"/>
      <c r="CE238"/>
      <c r="CF238"/>
      <c r="CI238" s="176">
        <f t="shared" si="282"/>
        <v>0.320398463616</v>
      </c>
      <c r="CJ238" s="177">
        <f t="shared" si="283"/>
        <v>0.160199231808</v>
      </c>
      <c r="CK238" s="177">
        <f t="shared" si="284"/>
        <v>0.742741892928</v>
      </c>
    </row>
    <row r="239" spans="22:89" ht="14.25">
      <c r="V239"/>
      <c r="AO239" s="1"/>
      <c r="AP239" s="1"/>
      <c r="AQ239" s="1"/>
      <c r="AT239"/>
      <c r="AU239"/>
      <c r="AW239" s="17"/>
      <c r="AX239" s="17"/>
      <c r="AY239"/>
      <c r="AZ239"/>
      <c r="BA239"/>
      <c r="BB239" s="1"/>
      <c r="BC239" s="2"/>
      <c r="BD239" s="2"/>
      <c r="BG239" s="1"/>
      <c r="BO239" s="98" t="s">
        <v>278</v>
      </c>
      <c r="BP239" s="97">
        <v>8009544</v>
      </c>
      <c r="BQ239" s="97">
        <v>2151378.8942895783</v>
      </c>
      <c r="BR239" s="97">
        <v>1075689.4471447892</v>
      </c>
      <c r="BS239" s="97">
        <v>4987287.436762204</v>
      </c>
      <c r="BT239" s="97">
        <v>245913.23501822952</v>
      </c>
      <c r="BU239" s="97">
        <v>178611.78034782718</v>
      </c>
      <c r="BV239" s="97">
        <v>710807.8376547699</v>
      </c>
      <c r="CC239"/>
      <c r="CD239"/>
      <c r="CE239"/>
      <c r="CF239"/>
      <c r="CI239" s="176">
        <f t="shared" si="282"/>
        <v>0.26860191969599995</v>
      </c>
      <c r="CJ239" s="177">
        <f t="shared" si="283"/>
        <v>0.13430095984799997</v>
      </c>
      <c r="CK239" s="177">
        <f t="shared" si="284"/>
        <v>0.6226680865679999</v>
      </c>
    </row>
    <row r="240" spans="22:83" ht="14.25">
      <c r="V240"/>
      <c r="AO240" s="1"/>
      <c r="AP240" s="1"/>
      <c r="AQ240" s="1"/>
      <c r="AT240"/>
      <c r="AU240"/>
      <c r="AW240" s="17"/>
      <c r="AX240" s="17"/>
      <c r="AY240"/>
      <c r="AZ240"/>
      <c r="BA240"/>
      <c r="BB240" s="1"/>
      <c r="BC240" s="2"/>
      <c r="BD240" s="2"/>
      <c r="BG240" s="1"/>
      <c r="BP240" s="183">
        <f aca="true" t="shared" si="286" ref="BP240:BV240">SUM(BP225:BP239)</f>
        <v>341915226</v>
      </c>
      <c r="BQ240" s="183">
        <f t="shared" si="286"/>
        <v>78422607.73646098</v>
      </c>
      <c r="BR240" s="183">
        <f t="shared" si="286"/>
        <v>39211303.86823049</v>
      </c>
      <c r="BS240" s="183">
        <f t="shared" si="286"/>
        <v>181797863.3890687</v>
      </c>
      <c r="BT240" s="183">
        <f t="shared" si="286"/>
        <v>9004246.259258041</v>
      </c>
      <c r="BU240" s="183">
        <f t="shared" si="286"/>
        <v>6336215.707764589</v>
      </c>
      <c r="BV240" s="183">
        <f t="shared" si="286"/>
        <v>25887646.537681602</v>
      </c>
      <c r="CC240"/>
      <c r="CD240"/>
      <c r="CE240"/>
    </row>
    <row r="241" spans="22:83" ht="14.25">
      <c r="V241"/>
      <c r="AO241" s="1"/>
      <c r="AP241" s="1"/>
      <c r="AQ241" s="1"/>
      <c r="AT241"/>
      <c r="AU241"/>
      <c r="AW241" s="17"/>
      <c r="AX241" s="17"/>
      <c r="AY241"/>
      <c r="AZ241"/>
      <c r="BA241"/>
      <c r="BB241" s="1"/>
      <c r="BC241" s="2"/>
      <c r="BD241" s="2"/>
      <c r="BG241" s="1"/>
      <c r="BQ241" s="249">
        <f>BQ240/BQ224</f>
        <v>0.6513709567133898</v>
      </c>
      <c r="BT241" s="249">
        <f>BT240/BT224</f>
        <v>0.6381679347447851</v>
      </c>
      <c r="CC241"/>
      <c r="CD241"/>
      <c r="CE241"/>
    </row>
    <row r="242" spans="41:83" ht="14.25">
      <c r="AO242" s="1"/>
      <c r="AP242" s="1"/>
      <c r="AQ242" s="1"/>
      <c r="AT242"/>
      <c r="AU242"/>
      <c r="AW242" s="17"/>
      <c r="AX242" s="17"/>
      <c r="AY242"/>
      <c r="AZ242"/>
      <c r="BA242"/>
      <c r="BB242" s="1"/>
      <c r="BC242" s="2"/>
      <c r="BD242" s="2"/>
      <c r="BG242" s="1"/>
      <c r="CC242"/>
      <c r="CD242"/>
      <c r="CE242"/>
    </row>
    <row r="243" spans="41:83" ht="14.25">
      <c r="AO243" s="1"/>
      <c r="AP243" s="1"/>
      <c r="AQ243" s="1"/>
      <c r="AT243"/>
      <c r="AU243"/>
      <c r="AW243" s="17"/>
      <c r="AX243" s="17"/>
      <c r="AY243"/>
      <c r="AZ243"/>
      <c r="BA243"/>
      <c r="BB243" s="1"/>
      <c r="BC243" s="2"/>
      <c r="BD243" s="2"/>
      <c r="BG243" s="1"/>
      <c r="CC243"/>
      <c r="CD243"/>
      <c r="CE243"/>
    </row>
    <row r="244" spans="41:59" ht="14.25">
      <c r="AO244" s="1"/>
      <c r="AP244" s="1"/>
      <c r="AQ244" s="1"/>
      <c r="AT244"/>
      <c r="AU244"/>
      <c r="AW244" s="17"/>
      <c r="AX244" s="17"/>
      <c r="AY244"/>
      <c r="AZ244"/>
      <c r="BA244"/>
      <c r="BB244" s="1"/>
      <c r="BC244" s="2"/>
      <c r="BD244" s="2"/>
      <c r="BG244" s="1"/>
    </row>
    <row r="245" spans="41:59" ht="14.25">
      <c r="AO245" s="1"/>
      <c r="AP245" s="1"/>
      <c r="AQ245" s="1"/>
      <c r="AR245" s="101" t="s">
        <v>542</v>
      </c>
      <c r="AT245" s="1"/>
      <c r="AU245"/>
      <c r="AX245" s="17"/>
      <c r="AY245"/>
      <c r="AZ245"/>
      <c r="BA245"/>
      <c r="BB245" s="1"/>
      <c r="BC245" s="2"/>
      <c r="BD245" s="2"/>
      <c r="BG245" s="1"/>
    </row>
    <row r="246" spans="41:59" ht="14.25">
      <c r="AO246" s="1"/>
      <c r="AP246" s="1"/>
      <c r="AQ246" s="1"/>
      <c r="AR246" s="103" t="s">
        <v>283</v>
      </c>
      <c r="AS246" s="103" t="s">
        <v>291</v>
      </c>
      <c r="AT246" s="103" t="s">
        <v>290</v>
      </c>
      <c r="AU246" s="103" t="s">
        <v>292</v>
      </c>
      <c r="AV246" s="103" t="s">
        <v>293</v>
      </c>
      <c r="AW246" s="103" t="s">
        <v>294</v>
      </c>
      <c r="AX246" s="17"/>
      <c r="AY246"/>
      <c r="AZ246"/>
      <c r="BA246"/>
      <c r="BB246" s="1"/>
      <c r="BC246" s="2"/>
      <c r="BD246" s="2"/>
      <c r="BG246" s="1"/>
    </row>
    <row r="247" spans="41:59" ht="14.25">
      <c r="AO247" s="1"/>
      <c r="AP247" s="1"/>
      <c r="AQ247" s="1"/>
      <c r="AR247" s="149" t="s">
        <v>284</v>
      </c>
      <c r="AS247" s="149">
        <f>439000*0.12</f>
        <v>52680</v>
      </c>
      <c r="AT247" s="149">
        <v>24300</v>
      </c>
      <c r="AU247" s="149">
        <v>4900</v>
      </c>
      <c r="AV247" s="149">
        <f>AT247/AS247</f>
        <v>0.4612756264236902</v>
      </c>
      <c r="AW247" s="149">
        <f>AU247/AS247</f>
        <v>0.09301442672741078</v>
      </c>
      <c r="AX247" s="17"/>
      <c r="AY247"/>
      <c r="AZ247"/>
      <c r="BA247"/>
      <c r="BB247" s="1"/>
      <c r="BC247" s="2"/>
      <c r="BD247" s="2"/>
      <c r="BG247" s="1"/>
    </row>
    <row r="248" spans="15:59" ht="14.25">
      <c r="O248"/>
      <c r="P248"/>
      <c r="Q248"/>
      <c r="R248"/>
      <c r="S248"/>
      <c r="T248"/>
      <c r="AO248" s="1"/>
      <c r="AP248" s="1"/>
      <c r="AQ248" s="1"/>
      <c r="AR248" s="149" t="s">
        <v>285</v>
      </c>
      <c r="AS248" s="149">
        <f>4396000*0.21</f>
        <v>923160</v>
      </c>
      <c r="AT248" s="149">
        <v>406000</v>
      </c>
      <c r="AU248" s="149">
        <v>146000</v>
      </c>
      <c r="AV248" s="149">
        <f aca="true" t="shared" si="287" ref="AV248:AV253">AT248/AS248</f>
        <v>0.4397937518956627</v>
      </c>
      <c r="AW248" s="149">
        <f aca="true" t="shared" si="288" ref="AW248:AW253">AU248/AS248</f>
        <v>0.15815243294770137</v>
      </c>
      <c r="AX248" s="17"/>
      <c r="AY248"/>
      <c r="AZ248"/>
      <c r="BA248"/>
      <c r="BB248" s="1"/>
      <c r="BC248" s="2"/>
      <c r="BD248" s="2"/>
      <c r="BG248" s="1"/>
    </row>
    <row r="249" spans="15:59" ht="14.25">
      <c r="O249"/>
      <c r="P249"/>
      <c r="Q249"/>
      <c r="R249"/>
      <c r="S249"/>
      <c r="T249"/>
      <c r="AO249" s="1"/>
      <c r="AP249" s="1"/>
      <c r="AQ249" s="1"/>
      <c r="AR249" s="149" t="s">
        <v>286</v>
      </c>
      <c r="AS249" s="149">
        <f>1409000*0.21</f>
        <v>295890</v>
      </c>
      <c r="AT249" s="149">
        <v>92100</v>
      </c>
      <c r="AU249" s="149">
        <v>41600</v>
      </c>
      <c r="AV249" s="149">
        <f t="shared" si="287"/>
        <v>0.3112643212004461</v>
      </c>
      <c r="AW249" s="149">
        <f t="shared" si="288"/>
        <v>0.1405927878603535</v>
      </c>
      <c r="AX249" s="17"/>
      <c r="AY249"/>
      <c r="AZ249"/>
      <c r="BA249"/>
      <c r="BB249" s="1"/>
      <c r="BC249" s="2"/>
      <c r="BD249" s="2"/>
      <c r="BG249" s="1"/>
    </row>
    <row r="250" spans="15:59" ht="14.25">
      <c r="O250"/>
      <c r="P250"/>
      <c r="Q250"/>
      <c r="R250"/>
      <c r="S250"/>
      <c r="T250"/>
      <c r="AO250" s="1"/>
      <c r="AP250" s="1"/>
      <c r="AQ250" s="1"/>
      <c r="AR250" s="149" t="s">
        <v>287</v>
      </c>
      <c r="AS250" s="149">
        <f>263000*0.12</f>
        <v>31560</v>
      </c>
      <c r="AT250" s="149">
        <v>13000</v>
      </c>
      <c r="AU250" s="149">
        <v>6500</v>
      </c>
      <c r="AV250" s="149">
        <f t="shared" si="287"/>
        <v>0.41191381495564006</v>
      </c>
      <c r="AW250" s="149">
        <f t="shared" si="288"/>
        <v>0.20595690747782003</v>
      </c>
      <c r="AX250" s="17"/>
      <c r="AY250"/>
      <c r="AZ250"/>
      <c r="BA250"/>
      <c r="BB250" s="1"/>
      <c r="BC250" s="2"/>
      <c r="BD250" s="2"/>
      <c r="BG250" s="1"/>
    </row>
    <row r="251" spans="15:59" ht="14.25">
      <c r="O251"/>
      <c r="P251"/>
      <c r="Q251"/>
      <c r="R251"/>
      <c r="S251"/>
      <c r="T251"/>
      <c r="AO251" s="1"/>
      <c r="AP251" s="1"/>
      <c r="AQ251" s="1"/>
      <c r="AR251" s="149" t="s">
        <v>288</v>
      </c>
      <c r="AS251" s="149">
        <f>3070000*0.19</f>
        <v>583300</v>
      </c>
      <c r="AT251" s="149">
        <v>169000</v>
      </c>
      <c r="AU251" s="149">
        <v>75300</v>
      </c>
      <c r="AV251" s="149">
        <f t="shared" si="287"/>
        <v>0.28973084176238645</v>
      </c>
      <c r="AW251" s="149">
        <f t="shared" si="288"/>
        <v>0.12909309103377337</v>
      </c>
      <c r="AX251" s="17"/>
      <c r="AY251"/>
      <c r="AZ251"/>
      <c r="BA251"/>
      <c r="BB251" s="1"/>
      <c r="BC251" s="2"/>
      <c r="BD251" s="2"/>
      <c r="BG251" s="1"/>
    </row>
    <row r="252" spans="15:59" ht="14.25">
      <c r="O252"/>
      <c r="P252"/>
      <c r="Q252"/>
      <c r="R252"/>
      <c r="S252"/>
      <c r="T252"/>
      <c r="AO252" s="1"/>
      <c r="AP252" s="1"/>
      <c r="AQ252" s="1"/>
      <c r="AR252" s="149" t="s">
        <v>289</v>
      </c>
      <c r="AS252" s="149">
        <f>1020000*0.13</f>
        <v>132600</v>
      </c>
      <c r="AT252" s="149">
        <v>36500</v>
      </c>
      <c r="AU252" s="149">
        <v>17600</v>
      </c>
      <c r="AV252" s="149">
        <f t="shared" si="287"/>
        <v>0.27526395173454</v>
      </c>
      <c r="AW252" s="149">
        <f t="shared" si="288"/>
        <v>0.13273001508295626</v>
      </c>
      <c r="AX252" s="17"/>
      <c r="AY252"/>
      <c r="AZ252"/>
      <c r="BA252"/>
      <c r="BB252" s="1"/>
      <c r="BC252" s="2"/>
      <c r="BD252" s="2"/>
      <c r="BG252" s="1"/>
    </row>
    <row r="253" spans="15:59" ht="14.25">
      <c r="O253"/>
      <c r="P253"/>
      <c r="Q253"/>
      <c r="R253"/>
      <c r="S253"/>
      <c r="T253"/>
      <c r="AO253" s="1"/>
      <c r="AP253" s="1"/>
      <c r="AQ253" s="1"/>
      <c r="AR253" s="149" t="s">
        <v>295</v>
      </c>
      <c r="AS253" s="149">
        <f>SUM(AS247:AS252)</f>
        <v>2019190</v>
      </c>
      <c r="AT253" s="149">
        <v>741000</v>
      </c>
      <c r="AU253" s="149">
        <v>292000</v>
      </c>
      <c r="AV253" s="149">
        <f t="shared" si="287"/>
        <v>0.3669788380489206</v>
      </c>
      <c r="AW253" s="149">
        <f t="shared" si="288"/>
        <v>0.14461244360362324</v>
      </c>
      <c r="AX253" s="17"/>
      <c r="AY253"/>
      <c r="AZ253"/>
      <c r="BA253"/>
      <c r="BB253" s="1"/>
      <c r="BC253" s="2"/>
      <c r="BD253" s="2"/>
      <c r="BG253" s="1"/>
    </row>
    <row r="254" spans="15:61" ht="14.25">
      <c r="O254"/>
      <c r="P254"/>
      <c r="Q254"/>
      <c r="R254"/>
      <c r="S254"/>
      <c r="T254"/>
      <c r="AO254" s="1"/>
      <c r="AP254" s="1"/>
      <c r="AQ254" s="1"/>
      <c r="AT254"/>
      <c r="AU254"/>
      <c r="AW254" s="17"/>
      <c r="AX254" s="17"/>
      <c r="AY254"/>
      <c r="AZ254"/>
      <c r="BA254"/>
      <c r="BB254" s="1"/>
      <c r="BC254" s="2"/>
      <c r="BD254" s="2"/>
      <c r="BE254" s="2"/>
      <c r="BI254" s="1"/>
    </row>
    <row r="255" spans="15:61" ht="14.25">
      <c r="O255"/>
      <c r="P255"/>
      <c r="Q255"/>
      <c r="R255"/>
      <c r="S255"/>
      <c r="T255"/>
      <c r="AO255" s="1"/>
      <c r="AP255" s="1"/>
      <c r="AQ255" s="1"/>
      <c r="AT255"/>
      <c r="AU255"/>
      <c r="AW255" s="17"/>
      <c r="AX255" s="17"/>
      <c r="AY255"/>
      <c r="AZ255"/>
      <c r="BA255"/>
      <c r="BB255" s="1"/>
      <c r="BC255" s="2"/>
      <c r="BD255" s="2"/>
      <c r="BE255" s="2"/>
      <c r="BI255" s="1"/>
    </row>
    <row r="256" spans="15:61" ht="14.25">
      <c r="O256"/>
      <c r="P256"/>
      <c r="Q256"/>
      <c r="R256"/>
      <c r="S256"/>
      <c r="T256"/>
      <c r="AO256" s="1"/>
      <c r="AP256" s="1"/>
      <c r="AQ256" s="1"/>
      <c r="AT256"/>
      <c r="AU256"/>
      <c r="AW256" s="17"/>
      <c r="AX256" s="17"/>
      <c r="AY256"/>
      <c r="AZ256"/>
      <c r="BA256"/>
      <c r="BB256" s="1"/>
      <c r="BC256" s="2"/>
      <c r="BD256" s="2"/>
      <c r="BE256" s="2"/>
      <c r="BI256" s="1"/>
    </row>
    <row r="257" spans="41:61" ht="14.25">
      <c r="AO257" s="1"/>
      <c r="AP257" s="1"/>
      <c r="AQ257" s="1"/>
      <c r="AT257"/>
      <c r="AU257"/>
      <c r="AW257" s="17"/>
      <c r="AX257" s="17"/>
      <c r="AY257"/>
      <c r="AZ257"/>
      <c r="BA257"/>
      <c r="BB257" s="1"/>
      <c r="BC257" s="2"/>
      <c r="BD257" s="2"/>
      <c r="BE257" s="2"/>
      <c r="BI257" s="1"/>
    </row>
    <row r="258" spans="41:57" ht="14.25">
      <c r="AO258" s="1"/>
      <c r="AP258" s="1"/>
      <c r="AQ258" s="1"/>
      <c r="AT258"/>
      <c r="AU258"/>
      <c r="AW258" s="17"/>
      <c r="AX258" s="17"/>
      <c r="AY258"/>
      <c r="AZ258"/>
      <c r="BA258"/>
      <c r="BB258" s="1"/>
      <c r="BC258" s="2"/>
      <c r="BD258" s="2"/>
      <c r="BE258" s="2"/>
    </row>
    <row r="259" spans="41:57" ht="14.25">
      <c r="AO259" s="1"/>
      <c r="AP259" s="1"/>
      <c r="AQ259" s="1"/>
      <c r="AT259"/>
      <c r="AU259"/>
      <c r="AW259" s="17"/>
      <c r="AX259" s="17"/>
      <c r="AY259"/>
      <c r="AZ259"/>
      <c r="BA259"/>
      <c r="BB259" s="1"/>
      <c r="BC259" s="2"/>
      <c r="BD259" s="2"/>
      <c r="BE259" s="2"/>
    </row>
    <row r="260" spans="41:57" ht="14.25">
      <c r="AO260" s="1"/>
      <c r="AP260" s="1"/>
      <c r="AQ260" s="1"/>
      <c r="AT260"/>
      <c r="AU260"/>
      <c r="AW260" s="17"/>
      <c r="AX260" s="17"/>
      <c r="AY260"/>
      <c r="AZ260"/>
      <c r="BA260"/>
      <c r="BB260" s="1"/>
      <c r="BC260" s="2"/>
      <c r="BD260" s="2"/>
      <c r="BE260" s="2"/>
    </row>
    <row r="261" spans="41:57" ht="14.25">
      <c r="AO261" s="1"/>
      <c r="AP261" s="1"/>
      <c r="AQ261" s="1"/>
      <c r="AT261"/>
      <c r="AU261"/>
      <c r="AW261" s="17"/>
      <c r="AX261" s="17"/>
      <c r="AY261"/>
      <c r="AZ261"/>
      <c r="BA261"/>
      <c r="BB261" s="1"/>
      <c r="BC261" s="2"/>
      <c r="BD261" s="2"/>
      <c r="BE261" s="2"/>
    </row>
    <row r="262" spans="41:56" ht="14.25">
      <c r="AO262" s="1"/>
      <c r="AP262" s="1"/>
      <c r="AQ262" s="1"/>
      <c r="AT262"/>
      <c r="AU262"/>
      <c r="AW262" s="17"/>
      <c r="AX262" s="17"/>
      <c r="AY262"/>
      <c r="AZ262"/>
      <c r="BA262"/>
      <c r="BB262" s="1"/>
      <c r="BC262" s="2"/>
      <c r="BD262" s="2"/>
    </row>
    <row r="263" spans="41:56" ht="14.25">
      <c r="AO263" s="1"/>
      <c r="AP263" s="1"/>
      <c r="AQ263" s="1"/>
      <c r="AT263"/>
      <c r="AU263"/>
      <c r="AW263" s="17"/>
      <c r="AX263" s="17"/>
      <c r="AY263"/>
      <c r="AZ263"/>
      <c r="BA263"/>
      <c r="BB263" s="1"/>
      <c r="BC263" s="2"/>
      <c r="BD263" s="2"/>
    </row>
    <row r="264" spans="41:56" ht="14.25">
      <c r="AO264" s="1"/>
      <c r="AP264" s="1"/>
      <c r="AQ264" s="1"/>
      <c r="AT264"/>
      <c r="AU264"/>
      <c r="AW264" s="17"/>
      <c r="AX264" s="17"/>
      <c r="AY264"/>
      <c r="AZ264"/>
      <c r="BA264"/>
      <c r="BB264" s="1"/>
      <c r="BC264" s="2"/>
      <c r="BD264" s="2"/>
    </row>
    <row r="265" spans="41:56" ht="14.25">
      <c r="AO265" s="1"/>
      <c r="AP265" s="1"/>
      <c r="AQ265" s="1"/>
      <c r="AT265"/>
      <c r="AU265"/>
      <c r="AW265" s="17"/>
      <c r="AX265" s="17"/>
      <c r="AY265"/>
      <c r="AZ265"/>
      <c r="BA265"/>
      <c r="BB265" s="1"/>
      <c r="BC265" s="2"/>
      <c r="BD265" s="2"/>
    </row>
    <row r="266" spans="41:56" ht="14.25">
      <c r="AO266" s="1"/>
      <c r="AP266" s="1"/>
      <c r="AQ266" s="1"/>
      <c r="AT266"/>
      <c r="AU266"/>
      <c r="AW266" s="17"/>
      <c r="AX266" s="17"/>
      <c r="AY266"/>
      <c r="AZ266"/>
      <c r="BA266"/>
      <c r="BB266" s="1"/>
      <c r="BC266" s="2"/>
      <c r="BD266" s="2"/>
    </row>
    <row r="267" spans="41:56" ht="14.25">
      <c r="AO267" s="1"/>
      <c r="AP267" s="1"/>
      <c r="AQ267" s="1"/>
      <c r="AT267"/>
      <c r="AU267"/>
      <c r="AW267" s="17"/>
      <c r="AX267" s="17"/>
      <c r="AY267"/>
      <c r="AZ267"/>
      <c r="BA267"/>
      <c r="BB267" s="1"/>
      <c r="BC267" s="2"/>
      <c r="BD267" s="2"/>
    </row>
    <row r="268" spans="41:84" ht="14.25">
      <c r="AO268" s="1"/>
      <c r="AP268" s="1"/>
      <c r="AQ268" s="1"/>
      <c r="AT268"/>
      <c r="AU268"/>
      <c r="AV268" s="17"/>
      <c r="AW268" s="17"/>
      <c r="AY268"/>
      <c r="AZ268"/>
      <c r="BA268" s="1"/>
      <c r="BB268" s="2"/>
      <c r="BC268" s="2"/>
      <c r="BD268"/>
      <c r="BO268"/>
      <c r="BQ268" s="1"/>
      <c r="BR268"/>
      <c r="CB268" s="2"/>
      <c r="CF268"/>
    </row>
    <row r="269" spans="41:84" ht="14.25">
      <c r="AO269" s="1"/>
      <c r="AP269" s="1"/>
      <c r="AQ269" s="1"/>
      <c r="AT269"/>
      <c r="AU269"/>
      <c r="AV269" s="17"/>
      <c r="AW269" s="17"/>
      <c r="AY269"/>
      <c r="AZ269"/>
      <c r="BA269" s="1"/>
      <c r="BB269" s="2"/>
      <c r="BC269" s="2"/>
      <c r="BD269"/>
      <c r="BO269"/>
      <c r="BQ269" s="1"/>
      <c r="BR269"/>
      <c r="CB269" s="2"/>
      <c r="CF269"/>
    </row>
    <row r="270" spans="41:84" ht="14.25">
      <c r="AO270" s="1"/>
      <c r="AP270" s="1"/>
      <c r="AQ270" s="1"/>
      <c r="AT270"/>
      <c r="AU270"/>
      <c r="AV270" s="17"/>
      <c r="AW270" s="17"/>
      <c r="AY270"/>
      <c r="AZ270"/>
      <c r="BA270" s="1"/>
      <c r="BB270" s="2"/>
      <c r="BC270" s="2"/>
      <c r="BD270"/>
      <c r="BO270"/>
      <c r="BQ270" s="1"/>
      <c r="BR270"/>
      <c r="CB270" s="2"/>
      <c r="CF270"/>
    </row>
    <row r="271" spans="41:84" ht="14.25">
      <c r="AO271" s="1"/>
      <c r="AP271" s="1"/>
      <c r="AQ271" s="1"/>
      <c r="AT271"/>
      <c r="AU271"/>
      <c r="AV271" s="17"/>
      <c r="AW271" s="17"/>
      <c r="AY271"/>
      <c r="AZ271"/>
      <c r="BA271" s="1"/>
      <c r="BB271" s="2"/>
      <c r="BC271" s="2"/>
      <c r="BD271"/>
      <c r="BO271"/>
      <c r="BQ271" s="1"/>
      <c r="BR271"/>
      <c r="CB271" s="2"/>
      <c r="CF271"/>
    </row>
    <row r="272" spans="41:84" ht="14.25">
      <c r="AO272" s="1"/>
      <c r="AP272" s="1"/>
      <c r="AQ272" s="1"/>
      <c r="BD272"/>
      <c r="BR272"/>
      <c r="BZ272" s="2"/>
      <c r="CA272" s="2"/>
      <c r="CB272" s="2"/>
      <c r="CD272"/>
      <c r="CE272"/>
      <c r="CF272"/>
    </row>
    <row r="273" spans="41:84" ht="14.25">
      <c r="AO273" s="1"/>
      <c r="AP273" s="1"/>
      <c r="BD273"/>
      <c r="BR273"/>
      <c r="BZ273" s="2"/>
      <c r="CA273" s="2"/>
      <c r="CB273" s="2"/>
      <c r="CD273"/>
      <c r="CE273"/>
      <c r="CF273"/>
    </row>
    <row r="274" spans="41:84" ht="14.25">
      <c r="AO274" s="1"/>
      <c r="AP274" s="1"/>
      <c r="BD274"/>
      <c r="BR274"/>
      <c r="BZ274" s="2"/>
      <c r="CA274" s="2"/>
      <c r="CB274" s="2"/>
      <c r="CD274"/>
      <c r="CE274"/>
      <c r="CF274"/>
    </row>
    <row r="275" spans="41:84" ht="14.25">
      <c r="AO275" s="1"/>
      <c r="AP275" s="1"/>
      <c r="BD275"/>
      <c r="BR275"/>
      <c r="BZ275" s="2"/>
      <c r="CA275" s="2"/>
      <c r="CB275" s="2"/>
      <c r="CD275"/>
      <c r="CE275"/>
      <c r="CF275"/>
    </row>
    <row r="276" spans="41:84" ht="14.25">
      <c r="AO276" s="1"/>
      <c r="AP276" s="1"/>
      <c r="BD276"/>
      <c r="BR276"/>
      <c r="BZ276" s="2"/>
      <c r="CA276" s="2"/>
      <c r="CB276" s="2"/>
      <c r="CD276"/>
      <c r="CE276"/>
      <c r="CF276"/>
    </row>
    <row r="277" spans="56:84" ht="14.25">
      <c r="BD277"/>
      <c r="BR277"/>
      <c r="BZ277" s="2"/>
      <c r="CA277" s="2"/>
      <c r="CB277" s="2"/>
      <c r="CD277"/>
      <c r="CE277"/>
      <c r="CF277"/>
    </row>
    <row r="278" spans="56:84" ht="14.25">
      <c r="BD278"/>
      <c r="BR278"/>
      <c r="BZ278" s="2"/>
      <c r="CA278" s="2"/>
      <c r="CB278" s="2"/>
      <c r="CD278"/>
      <c r="CE278"/>
      <c r="CF278"/>
    </row>
    <row r="279" spans="56:84" ht="14.25">
      <c r="BD279"/>
      <c r="BR279"/>
      <c r="BZ279" s="2"/>
      <c r="CA279" s="2"/>
      <c r="CB279" s="2"/>
      <c r="CD279"/>
      <c r="CE279"/>
      <c r="CF279"/>
    </row>
    <row r="280" spans="56:84" ht="14.25">
      <c r="BD280"/>
      <c r="BR280"/>
      <c r="BZ280" s="2"/>
      <c r="CA280" s="2"/>
      <c r="CB280" s="2"/>
      <c r="CD280"/>
      <c r="CE280"/>
      <c r="CF280"/>
    </row>
    <row r="281" ht="14.25">
      <c r="BD281"/>
    </row>
    <row r="282" ht="14.25">
      <c r="BD282"/>
    </row>
    <row r="283" ht="14.25">
      <c r="BD283"/>
    </row>
    <row r="284" ht="14.25">
      <c r="BD284"/>
    </row>
    <row r="285" ht="14.25">
      <c r="BD285"/>
    </row>
    <row r="286" ht="14.25">
      <c r="BD286"/>
    </row>
    <row r="287" ht="14.25">
      <c r="BD287"/>
    </row>
    <row r="288" ht="14.25">
      <c r="BD288"/>
    </row>
    <row r="289" ht="14.25">
      <c r="BD289"/>
    </row>
    <row r="290" ht="14.25">
      <c r="BD290"/>
    </row>
    <row r="291" ht="14.25">
      <c r="BD291"/>
    </row>
    <row r="292" ht="14.25">
      <c r="BD292"/>
    </row>
    <row r="293" ht="14.25">
      <c r="BD293"/>
    </row>
    <row r="294" ht="14.25">
      <c r="BD294"/>
    </row>
    <row r="295" ht="14.25">
      <c r="BD295"/>
    </row>
    <row r="296" ht="14.25">
      <c r="BD296"/>
    </row>
    <row r="297" ht="14.25">
      <c r="BD297"/>
    </row>
    <row r="300" ht="14.25">
      <c r="BD300"/>
    </row>
    <row r="301" ht="14.25">
      <c r="BD301"/>
    </row>
    <row r="302" ht="14.25">
      <c r="BD302"/>
    </row>
    <row r="303" ht="14.25">
      <c r="BD303"/>
    </row>
    <row r="304" ht="14.25">
      <c r="BD304"/>
    </row>
    <row r="305" ht="14.25">
      <c r="BD305"/>
    </row>
    <row r="306" ht="14.25">
      <c r="BD306"/>
    </row>
    <row r="307" ht="14.25">
      <c r="BD307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&amp;L&amp;"Arial,Italic"&amp;9Epidemiology and Burden of disease &amp;C&amp;P&amp;R&amp;"Terminal,Regular"&amp;9&amp;D &amp;T &amp;F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0"/>
  <sheetViews>
    <sheetView zoomScalePageLayoutView="0" workbookViewId="0" topLeftCell="A1">
      <selection activeCell="J33" sqref="J33"/>
    </sheetView>
  </sheetViews>
  <sheetFormatPr defaultColWidth="8.8515625" defaultRowHeight="12.75"/>
  <cols>
    <col min="1" max="1" width="8.8515625" style="0" customWidth="1"/>
    <col min="2" max="2" width="12.00390625" style="0" customWidth="1"/>
    <col min="3" max="3" width="8.8515625" style="302" customWidth="1"/>
    <col min="4" max="4" width="8.8515625" style="0" customWidth="1"/>
    <col min="5" max="5" width="16.00390625" style="0" customWidth="1"/>
    <col min="6" max="6" width="20.00390625" style="0" customWidth="1"/>
    <col min="7" max="7" width="8.8515625" style="0" customWidth="1"/>
    <col min="8" max="8" width="14.28125" style="0" customWidth="1"/>
    <col min="9" max="11" width="8.8515625" style="0" customWidth="1"/>
    <col min="12" max="12" width="33.7109375" style="0" customWidth="1"/>
    <col min="13" max="13" width="16.140625" style="0" customWidth="1"/>
  </cols>
  <sheetData>
    <row r="3" spans="2:20" ht="15.75">
      <c r="B3" s="301" t="s">
        <v>799</v>
      </c>
      <c r="C3" s="303"/>
      <c r="D3" s="301"/>
      <c r="E3" s="301"/>
      <c r="F3" s="301"/>
      <c r="G3" s="301"/>
      <c r="H3" s="301"/>
      <c r="L3" s="301" t="s">
        <v>798</v>
      </c>
      <c r="M3" s="303"/>
      <c r="N3" s="301"/>
      <c r="O3" s="301"/>
      <c r="P3" s="301"/>
      <c r="Q3" s="301"/>
      <c r="R3" s="301"/>
      <c r="S3" s="43"/>
      <c r="T3" s="43"/>
    </row>
    <row r="5" spans="2:18" ht="15.75">
      <c r="B5" s="299" t="s">
        <v>694</v>
      </c>
      <c r="C5" s="304" t="s">
        <v>695</v>
      </c>
      <c r="D5" s="299" t="s">
        <v>296</v>
      </c>
      <c r="E5" s="299" t="s">
        <v>696</v>
      </c>
      <c r="F5" s="299" t="s">
        <v>697</v>
      </c>
      <c r="G5" s="299" t="s">
        <v>698</v>
      </c>
      <c r="H5" s="300" t="s">
        <v>699</v>
      </c>
      <c r="I5" s="294"/>
      <c r="J5" s="294"/>
      <c r="K5" s="294"/>
      <c r="L5" s="314" t="s">
        <v>779</v>
      </c>
      <c r="M5" s="314" t="s">
        <v>780</v>
      </c>
      <c r="N5" s="311"/>
      <c r="O5" s="311"/>
      <c r="P5" s="311"/>
      <c r="Q5" s="311"/>
      <c r="R5" s="311"/>
    </row>
    <row r="6" spans="1:13" ht="15.75">
      <c r="A6" s="101" t="s">
        <v>778</v>
      </c>
      <c r="B6" s="308" t="s">
        <v>700</v>
      </c>
      <c r="C6" s="309">
        <v>2004</v>
      </c>
      <c r="D6" s="308" t="s">
        <v>701</v>
      </c>
      <c r="E6" s="308" t="s">
        <v>67</v>
      </c>
      <c r="F6" s="308" t="s">
        <v>702</v>
      </c>
      <c r="G6" s="308">
        <v>90576</v>
      </c>
      <c r="H6" s="310">
        <v>0.008</v>
      </c>
      <c r="I6" s="294"/>
      <c r="J6" s="294"/>
      <c r="K6" s="317" t="s">
        <v>778</v>
      </c>
      <c r="L6" s="308" t="s">
        <v>789</v>
      </c>
      <c r="M6" s="315">
        <v>0.03</v>
      </c>
    </row>
    <row r="7" spans="2:13" ht="15.75">
      <c r="B7" s="297" t="s">
        <v>703</v>
      </c>
      <c r="C7" s="305">
        <v>2008</v>
      </c>
      <c r="D7" s="297" t="s">
        <v>701</v>
      </c>
      <c r="E7" s="297" t="s">
        <v>63</v>
      </c>
      <c r="F7" s="297" t="s">
        <v>704</v>
      </c>
      <c r="G7" s="297">
        <v>86211</v>
      </c>
      <c r="H7" s="298">
        <v>0.024</v>
      </c>
      <c r="I7" s="294"/>
      <c r="J7" s="294"/>
      <c r="K7" s="317"/>
      <c r="L7" s="294" t="s">
        <v>782</v>
      </c>
      <c r="M7" s="312">
        <v>0.05</v>
      </c>
    </row>
    <row r="8" spans="2:17" ht="15.75">
      <c r="B8" s="297" t="s">
        <v>705</v>
      </c>
      <c r="C8" s="305">
        <v>2002</v>
      </c>
      <c r="D8" s="297" t="s">
        <v>706</v>
      </c>
      <c r="E8" s="297" t="s">
        <v>122</v>
      </c>
      <c r="F8" s="297" t="s">
        <v>707</v>
      </c>
      <c r="G8" s="297">
        <v>6244</v>
      </c>
      <c r="H8" s="298">
        <v>0.034</v>
      </c>
      <c r="I8" s="294"/>
      <c r="J8" s="294"/>
      <c r="K8" s="317" t="s">
        <v>790</v>
      </c>
      <c r="L8" s="308" t="s">
        <v>781</v>
      </c>
      <c r="M8" s="315">
        <v>0.08</v>
      </c>
      <c r="O8" s="296"/>
      <c r="P8" s="296"/>
      <c r="Q8" s="133"/>
    </row>
    <row r="9" spans="2:17" ht="15.75">
      <c r="B9" s="297" t="s">
        <v>99</v>
      </c>
      <c r="C9" s="305">
        <v>2008</v>
      </c>
      <c r="D9" s="297" t="s">
        <v>706</v>
      </c>
      <c r="E9" s="297" t="s">
        <v>122</v>
      </c>
      <c r="F9" s="297" t="s">
        <v>708</v>
      </c>
      <c r="G9" s="297">
        <v>2000</v>
      </c>
      <c r="H9" s="298">
        <v>0.053</v>
      </c>
      <c r="I9" s="294"/>
      <c r="J9" s="294"/>
      <c r="K9" s="317"/>
      <c r="L9" s="294" t="s">
        <v>787</v>
      </c>
      <c r="M9" s="313">
        <v>0.0928</v>
      </c>
      <c r="O9" s="296" t="s">
        <v>800</v>
      </c>
      <c r="P9" s="296"/>
      <c r="Q9" s="133"/>
    </row>
    <row r="10" spans="2:17" ht="15.75">
      <c r="B10" s="294" t="s">
        <v>709</v>
      </c>
      <c r="C10" s="306">
        <v>1991</v>
      </c>
      <c r="D10" s="294" t="s">
        <v>710</v>
      </c>
      <c r="E10" s="294" t="s">
        <v>25</v>
      </c>
      <c r="F10" s="294" t="s">
        <v>711</v>
      </c>
      <c r="G10" s="294">
        <v>440</v>
      </c>
      <c r="H10" s="295">
        <v>0.06</v>
      </c>
      <c r="I10" s="294"/>
      <c r="J10" s="294"/>
      <c r="K10" s="317" t="s">
        <v>775</v>
      </c>
      <c r="L10" s="308" t="s">
        <v>784</v>
      </c>
      <c r="M10" s="316">
        <v>0.115</v>
      </c>
      <c r="O10" s="296" t="s">
        <v>721</v>
      </c>
      <c r="P10" s="296"/>
      <c r="Q10" s="133"/>
    </row>
    <row r="11" spans="2:17" ht="15.75">
      <c r="B11" s="294" t="s">
        <v>712</v>
      </c>
      <c r="C11" s="306">
        <v>1990</v>
      </c>
      <c r="D11" s="294" t="s">
        <v>706</v>
      </c>
      <c r="E11" s="294" t="s">
        <v>122</v>
      </c>
      <c r="F11" s="294" t="s">
        <v>713</v>
      </c>
      <c r="G11" s="294">
        <v>674</v>
      </c>
      <c r="H11" s="295">
        <v>0.07</v>
      </c>
      <c r="I11" s="294"/>
      <c r="J11" s="294"/>
      <c r="K11" s="317"/>
      <c r="L11" s="294" t="s">
        <v>783</v>
      </c>
      <c r="M11" s="312">
        <v>0.21</v>
      </c>
      <c r="O11" s="296"/>
      <c r="P11" s="296"/>
      <c r="Q11" s="133"/>
    </row>
    <row r="12" spans="2:13" ht="15.75">
      <c r="B12" s="294" t="s">
        <v>714</v>
      </c>
      <c r="C12" s="306">
        <v>1996</v>
      </c>
      <c r="D12" s="294" t="s">
        <v>706</v>
      </c>
      <c r="E12" s="294" t="s">
        <v>127</v>
      </c>
      <c r="F12" s="294" t="s">
        <v>715</v>
      </c>
      <c r="G12" s="294">
        <v>384</v>
      </c>
      <c r="H12" s="295">
        <v>0.07</v>
      </c>
      <c r="K12" s="101" t="s">
        <v>791</v>
      </c>
      <c r="L12" s="308" t="s">
        <v>788</v>
      </c>
      <c r="M12" s="315">
        <v>0.33</v>
      </c>
    </row>
    <row r="13" spans="2:13" ht="15.75">
      <c r="B13" s="297" t="s">
        <v>716</v>
      </c>
      <c r="C13" s="305">
        <v>2006</v>
      </c>
      <c r="D13" s="297" t="s">
        <v>717</v>
      </c>
      <c r="E13" s="297" t="s">
        <v>115</v>
      </c>
      <c r="F13" s="297" t="s">
        <v>718</v>
      </c>
      <c r="G13" s="297">
        <v>13364</v>
      </c>
      <c r="H13" s="298">
        <v>0.072</v>
      </c>
      <c r="K13" s="101"/>
      <c r="L13" s="294" t="s">
        <v>786</v>
      </c>
      <c r="M13" s="313">
        <v>0.376</v>
      </c>
    </row>
    <row r="14" spans="1:13" ht="15.75">
      <c r="A14" s="101" t="s">
        <v>774</v>
      </c>
      <c r="B14" s="292" t="s">
        <v>719</v>
      </c>
      <c r="C14" s="307">
        <v>1996</v>
      </c>
      <c r="D14" s="292" t="s">
        <v>706</v>
      </c>
      <c r="E14" s="292" t="s">
        <v>119</v>
      </c>
      <c r="F14" s="292" t="s">
        <v>720</v>
      </c>
      <c r="G14" s="292">
        <v>1407</v>
      </c>
      <c r="H14" s="293">
        <v>0.11</v>
      </c>
      <c r="K14" s="101" t="s">
        <v>792</v>
      </c>
      <c r="L14" s="308" t="s">
        <v>785</v>
      </c>
      <c r="M14" s="315">
        <v>0.53</v>
      </c>
    </row>
    <row r="15" spans="2:8" ht="15.75">
      <c r="B15" s="297" t="s">
        <v>722</v>
      </c>
      <c r="C15" s="305">
        <v>1998</v>
      </c>
      <c r="D15" s="297" t="s">
        <v>706</v>
      </c>
      <c r="E15" s="297" t="s">
        <v>127</v>
      </c>
      <c r="F15" s="297" t="s">
        <v>723</v>
      </c>
      <c r="G15" s="297">
        <v>800</v>
      </c>
      <c r="H15" s="298">
        <v>0.113</v>
      </c>
    </row>
    <row r="16" spans="2:11" ht="15.75">
      <c r="B16" s="297" t="s">
        <v>724</v>
      </c>
      <c r="C16" s="305">
        <v>2005</v>
      </c>
      <c r="D16" s="297" t="s">
        <v>710</v>
      </c>
      <c r="E16" s="297" t="s">
        <v>24</v>
      </c>
      <c r="F16" s="297" t="s">
        <v>725</v>
      </c>
      <c r="G16" s="297">
        <v>8151</v>
      </c>
      <c r="H16" s="298">
        <v>0.128</v>
      </c>
      <c r="I16" s="294"/>
      <c r="J16" s="294"/>
      <c r="K16" s="294"/>
    </row>
    <row r="17" spans="2:11" ht="15.75">
      <c r="B17" s="297" t="s">
        <v>726</v>
      </c>
      <c r="C17" s="305">
        <v>2010</v>
      </c>
      <c r="D17" s="297" t="s">
        <v>706</v>
      </c>
      <c r="E17" s="297" t="s">
        <v>130</v>
      </c>
      <c r="F17" s="297" t="s">
        <v>727</v>
      </c>
      <c r="G17" s="297">
        <v>3633687</v>
      </c>
      <c r="H17" s="298">
        <v>0.13</v>
      </c>
      <c r="I17" s="294"/>
      <c r="J17" s="294"/>
      <c r="K17" s="294"/>
    </row>
    <row r="18" spans="2:11" ht="15.75">
      <c r="B18" s="297" t="s">
        <v>728</v>
      </c>
      <c r="C18" s="305">
        <v>1995</v>
      </c>
      <c r="D18" s="297" t="s">
        <v>710</v>
      </c>
      <c r="E18" s="297" t="s">
        <v>48</v>
      </c>
      <c r="F18" s="297" t="s">
        <v>729</v>
      </c>
      <c r="G18" s="297">
        <v>1315</v>
      </c>
      <c r="H18" s="298">
        <v>0.16</v>
      </c>
      <c r="I18" s="294"/>
      <c r="J18" s="294"/>
      <c r="K18" s="294"/>
    </row>
    <row r="19" spans="2:11" ht="15.75">
      <c r="B19" s="297" t="s">
        <v>730</v>
      </c>
      <c r="C19" s="305">
        <v>2004</v>
      </c>
      <c r="D19" s="297" t="s">
        <v>706</v>
      </c>
      <c r="E19" s="297" t="s">
        <v>119</v>
      </c>
      <c r="F19" s="297" t="s">
        <v>731</v>
      </c>
      <c r="G19" s="297">
        <v>1420</v>
      </c>
      <c r="H19" s="298">
        <v>0.19</v>
      </c>
      <c r="I19" s="294"/>
      <c r="J19" s="294"/>
      <c r="K19" s="294"/>
    </row>
    <row r="20" spans="2:18" ht="15.75">
      <c r="B20" s="294" t="s">
        <v>732</v>
      </c>
      <c r="C20" s="306">
        <v>1991</v>
      </c>
      <c r="D20" s="294" t="s">
        <v>733</v>
      </c>
      <c r="E20" s="294" t="s">
        <v>734</v>
      </c>
      <c r="F20" s="294" t="s">
        <v>735</v>
      </c>
      <c r="G20" s="294">
        <v>2000</v>
      </c>
      <c r="H20" s="295">
        <v>0.2</v>
      </c>
      <c r="I20" s="294"/>
      <c r="J20" s="294"/>
      <c r="L20" s="301" t="s">
        <v>793</v>
      </c>
      <c r="M20" s="303"/>
      <c r="N20" s="301"/>
      <c r="O20" s="301"/>
      <c r="P20" s="301"/>
      <c r="Q20" s="301"/>
      <c r="R20" s="301"/>
    </row>
    <row r="21" spans="2:10" ht="15.75">
      <c r="B21" s="294" t="s">
        <v>736</v>
      </c>
      <c r="C21" s="306">
        <v>1990</v>
      </c>
      <c r="D21" s="294" t="s">
        <v>710</v>
      </c>
      <c r="E21" s="294" t="s">
        <v>49</v>
      </c>
      <c r="F21" s="294" t="s">
        <v>737</v>
      </c>
      <c r="G21" s="294">
        <v>470</v>
      </c>
      <c r="H21" s="295">
        <v>0.21</v>
      </c>
      <c r="I21" s="294"/>
      <c r="J21" s="294"/>
    </row>
    <row r="22" spans="2:12" ht="15.75">
      <c r="B22" s="294" t="s">
        <v>738</v>
      </c>
      <c r="C22" s="306">
        <v>1994</v>
      </c>
      <c r="D22" s="294" t="s">
        <v>701</v>
      </c>
      <c r="E22" s="294" t="s">
        <v>67</v>
      </c>
      <c r="F22" s="294" t="s">
        <v>739</v>
      </c>
      <c r="G22" s="294">
        <v>1240</v>
      </c>
      <c r="H22" s="295">
        <v>0.21</v>
      </c>
      <c r="I22" s="294"/>
      <c r="J22" s="294"/>
      <c r="L22" t="s">
        <v>797</v>
      </c>
    </row>
    <row r="23" spans="1:12" ht="15.75">
      <c r="A23" s="101" t="s">
        <v>775</v>
      </c>
      <c r="B23" s="292" t="s">
        <v>740</v>
      </c>
      <c r="C23" s="307">
        <v>1990</v>
      </c>
      <c r="D23" s="292" t="s">
        <v>710</v>
      </c>
      <c r="E23" s="292" t="s">
        <v>34</v>
      </c>
      <c r="F23" s="292" t="s">
        <v>741</v>
      </c>
      <c r="G23" s="292">
        <v>400</v>
      </c>
      <c r="H23" s="293">
        <v>0.22</v>
      </c>
      <c r="I23" s="294"/>
      <c r="J23" s="294"/>
      <c r="L23" t="s">
        <v>796</v>
      </c>
    </row>
    <row r="24" spans="2:12" ht="15.75">
      <c r="B24" s="294" t="s">
        <v>742</v>
      </c>
      <c r="C24" s="306">
        <v>1997</v>
      </c>
      <c r="D24" s="294" t="s">
        <v>706</v>
      </c>
      <c r="E24" s="294" t="s">
        <v>123</v>
      </c>
      <c r="F24" s="294" t="s">
        <v>743</v>
      </c>
      <c r="G24" s="294">
        <v>696</v>
      </c>
      <c r="H24" s="295">
        <v>0.23</v>
      </c>
      <c r="I24" s="294"/>
      <c r="J24" s="294"/>
      <c r="L24" s="101" t="s">
        <v>794</v>
      </c>
    </row>
    <row r="25" spans="2:12" ht="15.75">
      <c r="B25" s="297" t="s">
        <v>744</v>
      </c>
      <c r="C25" s="305">
        <v>2006</v>
      </c>
      <c r="D25" s="297" t="s">
        <v>710</v>
      </c>
      <c r="E25" s="297" t="s">
        <v>52</v>
      </c>
      <c r="F25" s="297" t="s">
        <v>745</v>
      </c>
      <c r="G25" s="297">
        <v>1044</v>
      </c>
      <c r="H25" s="298">
        <v>0.239</v>
      </c>
      <c r="I25" s="294"/>
      <c r="J25" s="294"/>
      <c r="L25" t="s">
        <v>795</v>
      </c>
    </row>
    <row r="26" spans="2:10" ht="15.75">
      <c r="B26" s="297" t="s">
        <v>746</v>
      </c>
      <c r="C26" s="305">
        <v>1994</v>
      </c>
      <c r="D26" s="297" t="s">
        <v>701</v>
      </c>
      <c r="E26" s="297" t="s">
        <v>94</v>
      </c>
      <c r="F26" s="297" t="s">
        <v>747</v>
      </c>
      <c r="G26" s="297">
        <v>1500</v>
      </c>
      <c r="H26" s="298">
        <v>0.25</v>
      </c>
      <c r="I26" s="294"/>
      <c r="J26" s="294"/>
    </row>
    <row r="27" spans="2:10" ht="15.75">
      <c r="B27" s="297" t="s">
        <v>730</v>
      </c>
      <c r="C27" s="305">
        <v>2004</v>
      </c>
      <c r="D27" s="297" t="s">
        <v>710</v>
      </c>
      <c r="E27" s="297" t="s">
        <v>34</v>
      </c>
      <c r="F27" s="297" t="s">
        <v>741</v>
      </c>
      <c r="G27" s="297">
        <v>1579</v>
      </c>
      <c r="H27" s="298">
        <v>0.27</v>
      </c>
      <c r="I27" s="294"/>
      <c r="J27" s="294"/>
    </row>
    <row r="28" spans="2:10" ht="15.75">
      <c r="B28" s="297" t="s">
        <v>748</v>
      </c>
      <c r="C28" s="305">
        <v>1990</v>
      </c>
      <c r="D28" s="297" t="s">
        <v>706</v>
      </c>
      <c r="E28" s="297" t="s">
        <v>127</v>
      </c>
      <c r="F28" s="297" t="s">
        <v>749</v>
      </c>
      <c r="G28" s="297">
        <v>5335</v>
      </c>
      <c r="H28" s="298">
        <v>0.29</v>
      </c>
      <c r="I28" s="294"/>
      <c r="J28" s="294"/>
    </row>
    <row r="29" spans="2:10" ht="15.75">
      <c r="B29" s="297" t="s">
        <v>750</v>
      </c>
      <c r="C29" s="305">
        <v>2009</v>
      </c>
      <c r="D29" s="297" t="s">
        <v>717</v>
      </c>
      <c r="E29" s="297" t="s">
        <v>115</v>
      </c>
      <c r="F29" s="297" t="s">
        <v>751</v>
      </c>
      <c r="G29" s="297">
        <v>5204</v>
      </c>
      <c r="H29" s="298">
        <v>0.299</v>
      </c>
      <c r="I29" s="294"/>
      <c r="J29" s="294"/>
    </row>
    <row r="30" spans="2:10" ht="15.75">
      <c r="B30" s="297" t="s">
        <v>752</v>
      </c>
      <c r="C30" s="305">
        <v>1990</v>
      </c>
      <c r="D30" s="297" t="s">
        <v>701</v>
      </c>
      <c r="E30" s="297" t="s">
        <v>91</v>
      </c>
      <c r="F30" s="297" t="s">
        <v>753</v>
      </c>
      <c r="G30" s="297">
        <v>521</v>
      </c>
      <c r="H30" s="298">
        <v>0.31</v>
      </c>
      <c r="I30" s="294"/>
      <c r="J30" s="294"/>
    </row>
    <row r="31" spans="2:11" ht="15.75">
      <c r="B31" s="297" t="s">
        <v>754</v>
      </c>
      <c r="C31" s="305">
        <v>2007</v>
      </c>
      <c r="D31" s="297" t="s">
        <v>706</v>
      </c>
      <c r="E31" s="297" t="s">
        <v>127</v>
      </c>
      <c r="F31" s="297" t="s">
        <v>755</v>
      </c>
      <c r="G31" s="297">
        <v>281</v>
      </c>
      <c r="H31" s="298">
        <v>0.4</v>
      </c>
      <c r="I31" s="294"/>
      <c r="J31" s="294"/>
      <c r="K31" s="294"/>
    </row>
    <row r="32" spans="1:11" ht="15.75">
      <c r="A32" s="101" t="s">
        <v>776</v>
      </c>
      <c r="B32" s="292" t="s">
        <v>756</v>
      </c>
      <c r="C32" s="307">
        <v>2006</v>
      </c>
      <c r="D32" s="292" t="s">
        <v>706</v>
      </c>
      <c r="E32" s="292" t="s">
        <v>123</v>
      </c>
      <c r="F32" s="292" t="s">
        <v>757</v>
      </c>
      <c r="G32" s="292">
        <v>252</v>
      </c>
      <c r="H32" s="293">
        <v>0.508</v>
      </c>
      <c r="I32" s="294"/>
      <c r="J32" s="294"/>
      <c r="K32" s="294"/>
    </row>
    <row r="33" spans="2:11" ht="15.75">
      <c r="B33" s="297" t="s">
        <v>758</v>
      </c>
      <c r="C33" s="305">
        <v>2010</v>
      </c>
      <c r="D33" s="297" t="s">
        <v>706</v>
      </c>
      <c r="E33" s="297" t="s">
        <v>123</v>
      </c>
      <c r="F33" s="297" t="s">
        <v>759</v>
      </c>
      <c r="G33" s="297">
        <v>12062</v>
      </c>
      <c r="H33" s="298">
        <v>0.511</v>
      </c>
      <c r="I33" s="294"/>
      <c r="J33" s="294"/>
      <c r="K33" s="294"/>
    </row>
    <row r="34" spans="2:11" ht="15.75">
      <c r="B34" s="294" t="s">
        <v>760</v>
      </c>
      <c r="C34" s="306">
        <v>1990</v>
      </c>
      <c r="D34" s="294" t="s">
        <v>733</v>
      </c>
      <c r="E34" s="294" t="s">
        <v>761</v>
      </c>
      <c r="F34" s="294" t="s">
        <v>762</v>
      </c>
      <c r="G34" s="294">
        <v>1978</v>
      </c>
      <c r="H34" s="295">
        <v>0.57</v>
      </c>
      <c r="I34" s="294"/>
      <c r="J34" s="294"/>
      <c r="K34" s="294"/>
    </row>
    <row r="35" spans="2:11" ht="15.75">
      <c r="B35" s="294" t="s">
        <v>763</v>
      </c>
      <c r="C35" s="306">
        <v>1991</v>
      </c>
      <c r="D35" s="294" t="s">
        <v>706</v>
      </c>
      <c r="E35" s="294" t="s">
        <v>130</v>
      </c>
      <c r="F35" s="294" t="s">
        <v>764</v>
      </c>
      <c r="G35" s="294">
        <v>13404</v>
      </c>
      <c r="H35" s="295">
        <v>0.75</v>
      </c>
      <c r="I35" s="294"/>
      <c r="J35" s="294"/>
      <c r="K35" s="294"/>
    </row>
    <row r="36" spans="2:11" ht="15.75">
      <c r="B36" s="294" t="s">
        <v>765</v>
      </c>
      <c r="C36" s="306">
        <v>1990</v>
      </c>
      <c r="D36" s="294" t="s">
        <v>701</v>
      </c>
      <c r="E36" s="294" t="s">
        <v>69</v>
      </c>
      <c r="F36" s="294" t="s">
        <v>766</v>
      </c>
      <c r="G36" s="294">
        <v>340</v>
      </c>
      <c r="H36" s="295">
        <v>1.02</v>
      </c>
      <c r="I36" s="294"/>
      <c r="J36" s="294"/>
      <c r="K36" s="294"/>
    </row>
    <row r="37" spans="2:11" ht="15.75">
      <c r="B37" s="294" t="s">
        <v>767</v>
      </c>
      <c r="C37" s="306">
        <v>1990</v>
      </c>
      <c r="D37" s="294" t="s">
        <v>701</v>
      </c>
      <c r="E37" s="294" t="s">
        <v>86</v>
      </c>
      <c r="F37" s="294" t="s">
        <v>768</v>
      </c>
      <c r="G37" s="294">
        <v>166</v>
      </c>
      <c r="H37" s="295">
        <v>1.17</v>
      </c>
      <c r="I37" s="294"/>
      <c r="J37" s="294"/>
      <c r="K37" s="294"/>
    </row>
    <row r="38" spans="2:11" ht="15.75">
      <c r="B38" s="294" t="s">
        <v>769</v>
      </c>
      <c r="C38" s="306">
        <v>1994</v>
      </c>
      <c r="D38" s="294" t="s">
        <v>710</v>
      </c>
      <c r="E38" s="294" t="s">
        <v>34</v>
      </c>
      <c r="F38" s="294" t="s">
        <v>770</v>
      </c>
      <c r="G38" s="294">
        <v>481</v>
      </c>
      <c r="H38" s="295">
        <v>1.3</v>
      </c>
      <c r="I38" s="294"/>
      <c r="J38" s="294"/>
      <c r="K38" s="294"/>
    </row>
    <row r="39" spans="2:11" ht="15.75">
      <c r="B39" s="294" t="s">
        <v>732</v>
      </c>
      <c r="C39" s="306">
        <v>1992</v>
      </c>
      <c r="D39" s="294" t="s">
        <v>733</v>
      </c>
      <c r="E39" s="294" t="s">
        <v>734</v>
      </c>
      <c r="F39" s="294" t="s">
        <v>771</v>
      </c>
      <c r="G39" s="294">
        <v>1992</v>
      </c>
      <c r="H39" s="295">
        <v>1.3</v>
      </c>
      <c r="I39" s="294"/>
      <c r="J39" s="294"/>
      <c r="K39" s="294"/>
    </row>
    <row r="40" spans="1:11" ht="15.75">
      <c r="A40" s="101" t="s">
        <v>777</v>
      </c>
      <c r="B40" s="308" t="s">
        <v>772</v>
      </c>
      <c r="C40" s="309">
        <v>1995</v>
      </c>
      <c r="D40" s="308" t="s">
        <v>706</v>
      </c>
      <c r="E40" s="308" t="s">
        <v>119</v>
      </c>
      <c r="F40" s="308" t="s">
        <v>773</v>
      </c>
      <c r="G40" s="308">
        <v>269</v>
      </c>
      <c r="H40" s="310">
        <v>2.45</v>
      </c>
      <c r="I40" s="294"/>
      <c r="J40" s="294"/>
      <c r="K40" s="294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R.</dc:creator>
  <cp:keywords/>
  <dc:description/>
  <cp:lastModifiedBy>Ana</cp:lastModifiedBy>
  <dcterms:created xsi:type="dcterms:W3CDTF">2003-02-19T15:39:02Z</dcterms:created>
  <dcterms:modified xsi:type="dcterms:W3CDTF">2013-06-25T14:18:13Z</dcterms:modified>
  <cp:category/>
  <cp:version/>
  <cp:contentType/>
  <cp:contentStatus/>
</cp:coreProperties>
</file>